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4.xml" ContentType="application/vnd.openxmlformats-officedocument.drawing+xml"/>
  <Override PartName="/xl/worksheets/sheet1.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6.xml" ContentType="application/vnd.openxmlformats-officedocument.spreadsheetml.worksheet+xml"/>
  <Override PartName="/xl/charts/chart2.xml" ContentType="application/vnd.openxmlformats-officedocument.drawingml.chart+xml"/>
  <Override PartName="/xl/drawings/drawing2.xml" ContentType="application/vnd.openxmlformats-officedocument.drawing+xml"/>
  <Override PartName="/xl/charts/chart1.xml" ContentType="application/vnd.openxmlformats-officedocument.drawingml.chart+xml"/>
  <Override PartName="/docProps/core.xml" ContentType="application/vnd.openxmlformats-package.core-properties+xml"/>
  <Override PartName="/xl/calcChain.xml" ContentType="application/vnd.openxmlformats-officedocument.spreadsheetml.calcChain+xml"/>
  <Override PartName="/xl/comments1.xml" ContentType="application/vnd.openxmlformats-officedocument.spreadsheetml.comment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9330"/>
  <workbookPr codeName="ThisWorkbook" defaultThemeVersion="124226"/>
  <mc:AlternateContent xmlns:mc="http://schemas.openxmlformats.org/markup-compatibility/2006">
    <mc:Choice Requires="x15">
      <x15ac:absPath xmlns:x15ac="http://schemas.microsoft.com/office/spreadsheetml/2010/11/ac" url="https://acsat-my.sharepoint.com/personal/lloyd_acsconsulting_co_za/Documents/Documents/Info &amp; Templates/Spring Rotation Planner/"/>
    </mc:Choice>
  </mc:AlternateContent>
  <xr:revisionPtr revIDLastSave="0" documentId="8_{0266FF8A-B0C3-4563-A6D1-695429EF451C}" xr6:coauthVersionLast="33" xr6:coauthVersionMax="33" xr10:uidLastSave="{00000000-0000-0000-0000-000000000000}"/>
  <bookViews>
    <workbookView xWindow="32760" yWindow="32760" windowWidth="24000" windowHeight="9510" activeTab="1"/>
  </bookViews>
  <sheets>
    <sheet name="Spring Feed Budget" sheetId="1" r:id="rId1"/>
    <sheet name="Graphs" sheetId="13" r:id="rId2"/>
    <sheet name="Daily Feed Allocator" sheetId="12" r:id="rId3"/>
    <sheet name="Graph Data" sheetId="14" state="hidden" r:id="rId4"/>
    <sheet name="Help" sheetId="7" r:id="rId5"/>
    <sheet name="Explanations" sheetId="15" state="hidden" r:id="rId6"/>
  </sheets>
  <definedNames>
    <definedName name="AccArea">OFFSET('Graph Data'!$A$6,0,0,'Spring Feed Budget'!$B$12,1)</definedName>
    <definedName name="ActualAPC">OFFSET('Spring Feed Budget'!$W$17,0,0,'Spring Feed Budget'!$B$12,1)</definedName>
    <definedName name="ColostrumFeed">OFFSET('Spring Feed Budget'!$P$17,0,0,'Spring Feed Budget'!$B$12,1)</definedName>
    <definedName name="ColostrumSupplement">OFFSET('Spring Feed Budget'!$Q$17,0,0,'Spring Feed Budget'!$B$12,1)</definedName>
    <definedName name="Dates">OFFSET('Spring Feed Budget'!$B$17,0,0,'Spring Feed Budget'!$B$12,1)</definedName>
    <definedName name="DryFeed">OFFSET('Spring Feed Budget'!$M$17,0,0,'Spring Feed Budget'!$B$12,1)</definedName>
    <definedName name="DrySupplement">OFFSET('Spring Feed Budget'!$N$17,0,0,'Spring Feed Budget'!$B$12,1)</definedName>
    <definedName name="MilkerFeed">OFFSET('Spring Feed Budget'!$S$17,0,0,'Spring Feed Budget'!$B$12,1)</definedName>
    <definedName name="MilkerSupplement">OFFSET('Spring Feed Budget'!$T$17,0,0,'Spring Feed Budget'!$B$12,1)</definedName>
    <definedName name="PredictedAPC">OFFSET('Graph Data'!$B$6:$B$98,0,0,'Spring Feed Budget'!$B$12,1)</definedName>
    <definedName name="_xlnm.Print_Area" localSheetId="2">'Daily Feed Allocator'!$B$2:$H$32</definedName>
    <definedName name="_xlnm.Print_Area" localSheetId="1">Graphs!$A$1:$N$68</definedName>
    <definedName name="_xlnm.Print_Area" localSheetId="0">'Spring Feed Budget'!$B$1:$AC$110</definedName>
    <definedName name="RoundLength">OFFSET('Spring Feed Budget'!$Z$17,0,0,'Spring Feed Budget'!$B$12,1)</definedName>
    <definedName name="SupplementSupply">OFFSET('Spring Feed Budget'!$AD$17,0,0,'Spring Feed Budget'!$B$12,1)</definedName>
    <definedName name="TargetAPC">OFFSET('Spring Feed Budget'!$X$17,0,0,'Spring Feed Budget'!$B$12,1)</definedName>
  </definedNames>
  <calcPr calcId="179017"/>
</workbook>
</file>

<file path=xl/calcChain.xml><?xml version="1.0" encoding="utf-8"?>
<calcChain xmlns="http://schemas.openxmlformats.org/spreadsheetml/2006/main">
  <c r="D9" i="1" l="1"/>
  <c r="E7" i="1"/>
  <c r="F7" i="1" s="1"/>
  <c r="F9" i="1"/>
  <c r="I20" i="1"/>
  <c r="I19" i="1"/>
  <c r="I18" i="1"/>
  <c r="E10" i="1"/>
  <c r="F10" i="1" s="1"/>
  <c r="E9" i="1"/>
  <c r="S5" i="1"/>
  <c r="X16" i="1"/>
  <c r="E8" i="1"/>
  <c r="F8" i="1"/>
  <c r="F25" i="12"/>
  <c r="G25" i="12"/>
  <c r="H25" i="12"/>
  <c r="E25" i="12"/>
  <c r="E32" i="12"/>
  <c r="F32" i="12"/>
  <c r="G32" i="12"/>
  <c r="H32" i="12"/>
  <c r="B32" i="12"/>
  <c r="B29" i="12"/>
  <c r="B30" i="12"/>
  <c r="B31" i="12"/>
  <c r="B28" i="12"/>
  <c r="D15" i="1"/>
  <c r="G17" i="1"/>
  <c r="I51" i="1"/>
  <c r="U51" i="1" s="1"/>
  <c r="E28" i="12"/>
  <c r="H21" i="1"/>
  <c r="R21" i="1"/>
  <c r="H20" i="1"/>
  <c r="R20" i="1"/>
  <c r="H19" i="1"/>
  <c r="R19" i="1"/>
  <c r="H18" i="1"/>
  <c r="R18" i="1"/>
  <c r="Z16" i="1"/>
  <c r="U17" i="1"/>
  <c r="R17" i="1"/>
  <c r="U18" i="1"/>
  <c r="H93" i="1"/>
  <c r="R93" i="1" s="1"/>
  <c r="I93" i="1"/>
  <c r="U93" i="1" s="1"/>
  <c r="H94" i="1"/>
  <c r="R94" i="1" s="1"/>
  <c r="I94" i="1"/>
  <c r="U94" i="1" s="1"/>
  <c r="H95" i="1"/>
  <c r="R95" i="1" s="1"/>
  <c r="I95" i="1"/>
  <c r="U95" i="1" s="1"/>
  <c r="H96" i="1"/>
  <c r="R96" i="1" s="1"/>
  <c r="I96" i="1"/>
  <c r="U96" i="1" s="1"/>
  <c r="H97" i="1"/>
  <c r="R97" i="1" s="1"/>
  <c r="I97" i="1"/>
  <c r="U97" i="1" s="1"/>
  <c r="H98" i="1"/>
  <c r="R98" i="1" s="1"/>
  <c r="I98" i="1"/>
  <c r="U98" i="1" s="1"/>
  <c r="H99" i="1"/>
  <c r="R99" i="1" s="1"/>
  <c r="I99" i="1"/>
  <c r="U99" i="1" s="1"/>
  <c r="H100" i="1"/>
  <c r="R100" i="1" s="1"/>
  <c r="I100" i="1"/>
  <c r="U100" i="1" s="1"/>
  <c r="H101" i="1"/>
  <c r="R101" i="1" s="1"/>
  <c r="I101" i="1"/>
  <c r="U101" i="1" s="1"/>
  <c r="I22" i="1"/>
  <c r="U22" i="1" s="1"/>
  <c r="I23" i="1"/>
  <c r="U23" i="1" s="1"/>
  <c r="I24" i="1"/>
  <c r="U24" i="1" s="1"/>
  <c r="I25" i="1"/>
  <c r="U25" i="1" s="1"/>
  <c r="I26" i="1"/>
  <c r="U26" i="1" s="1"/>
  <c r="I27" i="1"/>
  <c r="U27" i="1" s="1"/>
  <c r="I28" i="1"/>
  <c r="U28" i="1" s="1"/>
  <c r="I29" i="1"/>
  <c r="U29" i="1" s="1"/>
  <c r="I30" i="1"/>
  <c r="U30" i="1" s="1"/>
  <c r="I31" i="1"/>
  <c r="U31" i="1" s="1"/>
  <c r="I32" i="1"/>
  <c r="U32" i="1" s="1"/>
  <c r="I33" i="1"/>
  <c r="U33" i="1" s="1"/>
  <c r="I34" i="1"/>
  <c r="U34" i="1" s="1"/>
  <c r="I35" i="1"/>
  <c r="U35" i="1" s="1"/>
  <c r="I36" i="1"/>
  <c r="U36" i="1" s="1"/>
  <c r="I37" i="1"/>
  <c r="U37" i="1" s="1"/>
  <c r="I38" i="1"/>
  <c r="U38" i="1" s="1"/>
  <c r="I39" i="1"/>
  <c r="U39" i="1" s="1"/>
  <c r="I40" i="1"/>
  <c r="U40" i="1" s="1"/>
  <c r="I41" i="1"/>
  <c r="U41" i="1" s="1"/>
  <c r="I42" i="1"/>
  <c r="U42" i="1" s="1"/>
  <c r="I43" i="1"/>
  <c r="U43" i="1" s="1"/>
  <c r="I44" i="1"/>
  <c r="U44" i="1" s="1"/>
  <c r="I45" i="1"/>
  <c r="U45" i="1" s="1"/>
  <c r="I46" i="1"/>
  <c r="U46" i="1" s="1"/>
  <c r="I47" i="1"/>
  <c r="U47" i="1" s="1"/>
  <c r="I48" i="1"/>
  <c r="U48" i="1" s="1"/>
  <c r="I49" i="1"/>
  <c r="U49" i="1" s="1"/>
  <c r="I50" i="1"/>
  <c r="U50" i="1" s="1"/>
  <c r="I52" i="1"/>
  <c r="U52" i="1" s="1"/>
  <c r="I53" i="1"/>
  <c r="U53" i="1" s="1"/>
  <c r="I54" i="1"/>
  <c r="U54" i="1" s="1"/>
  <c r="I55" i="1"/>
  <c r="U55" i="1" s="1"/>
  <c r="I56" i="1"/>
  <c r="U56" i="1" s="1"/>
  <c r="I57" i="1"/>
  <c r="U57" i="1" s="1"/>
  <c r="I58" i="1"/>
  <c r="U58" i="1" s="1"/>
  <c r="I59" i="1"/>
  <c r="U59" i="1" s="1"/>
  <c r="I60" i="1"/>
  <c r="U60" i="1" s="1"/>
  <c r="I61" i="1"/>
  <c r="U61" i="1" s="1"/>
  <c r="I62" i="1"/>
  <c r="U62" i="1" s="1"/>
  <c r="I63" i="1"/>
  <c r="U63" i="1" s="1"/>
  <c r="I64" i="1"/>
  <c r="U64" i="1" s="1"/>
  <c r="I65" i="1"/>
  <c r="U65" i="1" s="1"/>
  <c r="I66" i="1"/>
  <c r="U66" i="1" s="1"/>
  <c r="I67" i="1"/>
  <c r="U67" i="1" s="1"/>
  <c r="I68" i="1"/>
  <c r="U68" i="1" s="1"/>
  <c r="I69" i="1"/>
  <c r="U69" i="1" s="1"/>
  <c r="I70" i="1"/>
  <c r="U70" i="1" s="1"/>
  <c r="I71" i="1"/>
  <c r="U71" i="1" s="1"/>
  <c r="I72" i="1"/>
  <c r="U72" i="1" s="1"/>
  <c r="I73" i="1"/>
  <c r="U73" i="1" s="1"/>
  <c r="I74" i="1"/>
  <c r="U74" i="1" s="1"/>
  <c r="I75" i="1"/>
  <c r="U75" i="1" s="1"/>
  <c r="I76" i="1"/>
  <c r="U76" i="1" s="1"/>
  <c r="I77" i="1"/>
  <c r="U77" i="1" s="1"/>
  <c r="I78" i="1"/>
  <c r="U78" i="1" s="1"/>
  <c r="I79" i="1"/>
  <c r="U79" i="1" s="1"/>
  <c r="I80" i="1"/>
  <c r="U80" i="1" s="1"/>
  <c r="I81" i="1"/>
  <c r="U81" i="1" s="1"/>
  <c r="I82" i="1"/>
  <c r="U82" i="1" s="1"/>
  <c r="I83" i="1"/>
  <c r="U83" i="1" s="1"/>
  <c r="I84" i="1"/>
  <c r="U84" i="1" s="1"/>
  <c r="I85" i="1"/>
  <c r="U85" i="1" s="1"/>
  <c r="I86" i="1"/>
  <c r="U86" i="1" s="1"/>
  <c r="I87" i="1"/>
  <c r="U87" i="1" s="1"/>
  <c r="I88" i="1"/>
  <c r="U88" i="1"/>
  <c r="I89" i="1"/>
  <c r="U89" i="1"/>
  <c r="I90" i="1"/>
  <c r="U90" i="1"/>
  <c r="I91" i="1"/>
  <c r="U91" i="1"/>
  <c r="I92" i="1"/>
  <c r="U92" i="1"/>
  <c r="I102" i="1"/>
  <c r="U102" i="1"/>
  <c r="I103" i="1"/>
  <c r="U103" i="1"/>
  <c r="I104" i="1"/>
  <c r="U104" i="1"/>
  <c r="I105" i="1"/>
  <c r="U105" i="1"/>
  <c r="I106" i="1"/>
  <c r="U106" i="1"/>
  <c r="I107" i="1"/>
  <c r="U107" i="1"/>
  <c r="I108" i="1"/>
  <c r="U108" i="1"/>
  <c r="I109" i="1"/>
  <c r="U109" i="1"/>
  <c r="I21" i="1"/>
  <c r="U21" i="1"/>
  <c r="H30" i="12"/>
  <c r="H31" i="12"/>
  <c r="G28" i="12"/>
  <c r="F28" i="12"/>
  <c r="H22" i="1"/>
  <c r="R22" i="1"/>
  <c r="Z17" i="1"/>
  <c r="R3" i="13"/>
  <c r="H109" i="1"/>
  <c r="R109" i="1"/>
  <c r="H87" i="1"/>
  <c r="R87" i="1"/>
  <c r="H88" i="1"/>
  <c r="R88" i="1"/>
  <c r="H89" i="1"/>
  <c r="R89" i="1"/>
  <c r="H90" i="1"/>
  <c r="R90" i="1"/>
  <c r="H91" i="1"/>
  <c r="R91" i="1"/>
  <c r="H92" i="1"/>
  <c r="R92" i="1"/>
  <c r="H102" i="1"/>
  <c r="R102" i="1"/>
  <c r="H103" i="1"/>
  <c r="R103" i="1"/>
  <c r="H104" i="1"/>
  <c r="R104" i="1"/>
  <c r="H105" i="1"/>
  <c r="R105" i="1"/>
  <c r="H106" i="1"/>
  <c r="R106" i="1"/>
  <c r="H107" i="1"/>
  <c r="R107" i="1"/>
  <c r="H108" i="1"/>
  <c r="R108" i="1"/>
  <c r="H56" i="1"/>
  <c r="R56" i="1"/>
  <c r="X17" i="1"/>
  <c r="AE17" i="1"/>
  <c r="B6" i="14" s="1"/>
  <c r="H27" i="1"/>
  <c r="R27" i="1" s="1"/>
  <c r="U20" i="1"/>
  <c r="U19" i="1"/>
  <c r="H23" i="1"/>
  <c r="R23" i="1" s="1"/>
  <c r="H24" i="1"/>
  <c r="R24" i="1" s="1"/>
  <c r="H25" i="1"/>
  <c r="R25" i="1" s="1"/>
  <c r="H26" i="1"/>
  <c r="R26" i="1" s="1"/>
  <c r="H28" i="1"/>
  <c r="R28" i="1" s="1"/>
  <c r="H29" i="1"/>
  <c r="R29" i="1" s="1"/>
  <c r="H30" i="1"/>
  <c r="R30" i="1" s="1"/>
  <c r="H31" i="1"/>
  <c r="R31" i="1" s="1"/>
  <c r="H32" i="1"/>
  <c r="R32" i="1" s="1"/>
  <c r="H33" i="1"/>
  <c r="R33" i="1" s="1"/>
  <c r="H34" i="1"/>
  <c r="R34" i="1" s="1"/>
  <c r="H35" i="1"/>
  <c r="R35" i="1" s="1"/>
  <c r="H36" i="1"/>
  <c r="R36" i="1" s="1"/>
  <c r="H37" i="1"/>
  <c r="R37" i="1" s="1"/>
  <c r="H38" i="1"/>
  <c r="R38" i="1" s="1"/>
  <c r="H39" i="1"/>
  <c r="R39" i="1" s="1"/>
  <c r="H40" i="1"/>
  <c r="R40" i="1" s="1"/>
  <c r="H41" i="1"/>
  <c r="R41" i="1" s="1"/>
  <c r="H42" i="1"/>
  <c r="R42" i="1" s="1"/>
  <c r="H43" i="1"/>
  <c r="R43" i="1" s="1"/>
  <c r="H44" i="1"/>
  <c r="R44" i="1" s="1"/>
  <c r="H45" i="1"/>
  <c r="R45" i="1" s="1"/>
  <c r="H46" i="1"/>
  <c r="R46" i="1" s="1"/>
  <c r="H47" i="1"/>
  <c r="R47" i="1" s="1"/>
  <c r="H48" i="1"/>
  <c r="R48" i="1" s="1"/>
  <c r="H49" i="1"/>
  <c r="R49" i="1" s="1"/>
  <c r="H50" i="1"/>
  <c r="R50" i="1" s="1"/>
  <c r="H51" i="1"/>
  <c r="R51" i="1" s="1"/>
  <c r="H52" i="1"/>
  <c r="R52" i="1" s="1"/>
  <c r="H53" i="1"/>
  <c r="R53" i="1" s="1"/>
  <c r="H54" i="1"/>
  <c r="R54" i="1" s="1"/>
  <c r="H55" i="1"/>
  <c r="R55" i="1" s="1"/>
  <c r="H57" i="1"/>
  <c r="R57" i="1" s="1"/>
  <c r="H58" i="1"/>
  <c r="R58" i="1" s="1"/>
  <c r="H59" i="1"/>
  <c r="R59" i="1" s="1"/>
  <c r="H60" i="1"/>
  <c r="R60" i="1" s="1"/>
  <c r="H61" i="1"/>
  <c r="R61" i="1" s="1"/>
  <c r="H62" i="1"/>
  <c r="R62" i="1" s="1"/>
  <c r="H63" i="1"/>
  <c r="R63" i="1" s="1"/>
  <c r="H64" i="1"/>
  <c r="R64" i="1" s="1"/>
  <c r="H65" i="1"/>
  <c r="R65" i="1" s="1"/>
  <c r="H66" i="1"/>
  <c r="R66" i="1" s="1"/>
  <c r="H67" i="1"/>
  <c r="R67" i="1" s="1"/>
  <c r="H68" i="1"/>
  <c r="R68" i="1" s="1"/>
  <c r="H69" i="1"/>
  <c r="R69" i="1" s="1"/>
  <c r="H70" i="1"/>
  <c r="R70" i="1" s="1"/>
  <c r="H71" i="1"/>
  <c r="R71" i="1" s="1"/>
  <c r="H72" i="1"/>
  <c r="R72" i="1" s="1"/>
  <c r="H73" i="1"/>
  <c r="R73" i="1" s="1"/>
  <c r="H74" i="1"/>
  <c r="R74" i="1" s="1"/>
  <c r="H75" i="1"/>
  <c r="R75" i="1" s="1"/>
  <c r="H76" i="1"/>
  <c r="R76" i="1" s="1"/>
  <c r="H77" i="1"/>
  <c r="R77" i="1" s="1"/>
  <c r="H78" i="1"/>
  <c r="R78" i="1" s="1"/>
  <c r="H79" i="1"/>
  <c r="R79" i="1" s="1"/>
  <c r="H80" i="1"/>
  <c r="R80" i="1" s="1"/>
  <c r="H81" i="1"/>
  <c r="R81" i="1" s="1"/>
  <c r="H82" i="1"/>
  <c r="R82" i="1" s="1"/>
  <c r="H83" i="1"/>
  <c r="R83" i="1" s="1"/>
  <c r="H84" i="1"/>
  <c r="R84" i="1" s="1"/>
  <c r="H85" i="1"/>
  <c r="R85" i="1" s="1"/>
  <c r="H86" i="1"/>
  <c r="R86" i="1" s="1"/>
  <c r="B17" i="1"/>
  <c r="AF17" i="1"/>
  <c r="Y17" i="1"/>
  <c r="S3" i="13" s="1"/>
  <c r="A17" i="1"/>
  <c r="A6" i="14"/>
  <c r="O17" i="1"/>
  <c r="G18" i="1"/>
  <c r="AD18" i="1" s="1"/>
  <c r="F17" i="1"/>
  <c r="E17" i="1"/>
  <c r="L17" i="1"/>
  <c r="F18" i="1"/>
  <c r="L18" i="1" s="1"/>
  <c r="AD17" i="1"/>
  <c r="AE18" i="1"/>
  <c r="AB17" i="1"/>
  <c r="O18" i="1"/>
  <c r="B7" i="14"/>
  <c r="F19" i="1" l="1"/>
  <c r="E18" i="1"/>
  <c r="G19" i="1"/>
  <c r="AB18" i="1"/>
  <c r="AE19" i="1" s="1"/>
  <c r="Q3" i="13"/>
  <c r="B18" i="1"/>
  <c r="B8" i="14" l="1"/>
  <c r="Z18" i="1"/>
  <c r="Q4" i="13"/>
  <c r="B19" i="1"/>
  <c r="X18" i="1"/>
  <c r="O19" i="1"/>
  <c r="AB19" i="1"/>
  <c r="G20" i="1"/>
  <c r="AD19" i="1"/>
  <c r="AE20" i="1" s="1"/>
  <c r="F20" i="1"/>
  <c r="E19" i="1"/>
  <c r="L19" i="1"/>
  <c r="B9" i="14" l="1"/>
  <c r="B20" i="1"/>
  <c r="Z19" i="1"/>
  <c r="Q5" i="13"/>
  <c r="X19" i="1"/>
  <c r="R4" i="13"/>
  <c r="Y18" i="1"/>
  <c r="E20" i="1"/>
  <c r="L20" i="1"/>
  <c r="F21" i="1"/>
  <c r="G21" i="1"/>
  <c r="AB20" i="1"/>
  <c r="AE21" i="1" s="1"/>
  <c r="AD20" i="1"/>
  <c r="O20" i="1"/>
  <c r="AC18" i="1"/>
  <c r="AC17" i="1"/>
  <c r="AF18" i="1"/>
  <c r="B10" i="14" l="1"/>
  <c r="L21" i="1"/>
  <c r="F22" i="1"/>
  <c r="E21" i="1"/>
  <c r="Q6" i="13"/>
  <c r="X20" i="1"/>
  <c r="B21" i="1"/>
  <c r="Z20" i="1"/>
  <c r="O21" i="1"/>
  <c r="AD21" i="1"/>
  <c r="G22" i="1"/>
  <c r="AB21" i="1"/>
  <c r="S4" i="13"/>
  <c r="A18" i="1"/>
  <c r="A7" i="14"/>
  <c r="AC19" i="1"/>
  <c r="AF19" i="1"/>
  <c r="R5" i="13"/>
  <c r="Y19" i="1"/>
  <c r="AE22" i="1" l="1"/>
  <c r="B11" i="14"/>
  <c r="Y20" i="1"/>
  <c r="R6" i="13"/>
  <c r="AF20" i="1"/>
  <c r="S5" i="13"/>
  <c r="A8" i="14"/>
  <c r="A19" i="1"/>
  <c r="G23" i="1"/>
  <c r="AD22" i="1"/>
  <c r="AB22" i="1"/>
  <c r="O22" i="1"/>
  <c r="Z21" i="1"/>
  <c r="B22" i="1"/>
  <c r="X21" i="1"/>
  <c r="Q7" i="13"/>
  <c r="E22" i="1"/>
  <c r="F23" i="1"/>
  <c r="L22" i="1"/>
  <c r="AE23" i="1" l="1"/>
  <c r="B12" i="14"/>
  <c r="L23" i="1"/>
  <c r="F24" i="1"/>
  <c r="E23" i="1"/>
  <c r="AF21" i="1"/>
  <c r="R7" i="13"/>
  <c r="Y21" i="1"/>
  <c r="G24" i="1"/>
  <c r="AB23" i="1"/>
  <c r="AD23" i="1"/>
  <c r="O23" i="1"/>
  <c r="X22" i="1"/>
  <c r="Q8" i="13"/>
  <c r="B23" i="1"/>
  <c r="Z22" i="1"/>
  <c r="AC20" i="1"/>
  <c r="A9" i="14"/>
  <c r="S6" i="13"/>
  <c r="A20" i="1"/>
  <c r="AE24" i="1" l="1"/>
  <c r="B13" i="14"/>
  <c r="Z23" i="1"/>
  <c r="X23" i="1"/>
  <c r="Q9" i="13"/>
  <c r="B24" i="1"/>
  <c r="AC22" i="1"/>
  <c r="AF22" i="1"/>
  <c r="O24" i="1"/>
  <c r="AD24" i="1"/>
  <c r="G25" i="1"/>
  <c r="AB24" i="1"/>
  <c r="AC21" i="1"/>
  <c r="F25" i="1"/>
  <c r="L24" i="1"/>
  <c r="E24" i="1"/>
  <c r="Y22" i="1"/>
  <c r="R8" i="13"/>
  <c r="S7" i="13"/>
  <c r="A21" i="1"/>
  <c r="A10" i="14"/>
  <c r="AE25" i="1" l="1"/>
  <c r="B14" i="14"/>
  <c r="L25" i="1"/>
  <c r="F26" i="1"/>
  <c r="E25" i="1"/>
  <c r="R9" i="13"/>
  <c r="Y23" i="1"/>
  <c r="A11" i="14"/>
  <c r="A22" i="1"/>
  <c r="S8" i="13"/>
  <c r="O25" i="1"/>
  <c r="AD25" i="1"/>
  <c r="AE26" i="1" s="1"/>
  <c r="AB25" i="1"/>
  <c r="G26" i="1"/>
  <c r="Q10" i="13"/>
  <c r="B25" i="1"/>
  <c r="Z24" i="1"/>
  <c r="X24" i="1"/>
  <c r="AF23" i="1"/>
  <c r="B15" i="14" l="1"/>
  <c r="AF24" i="1"/>
  <c r="Q11" i="13"/>
  <c r="Z25" i="1"/>
  <c r="X25" i="1"/>
  <c r="B26" i="1"/>
  <c r="O26" i="1"/>
  <c r="G27" i="1"/>
  <c r="AD26" i="1"/>
  <c r="AB26" i="1"/>
  <c r="A23" i="1"/>
  <c r="A12" i="14"/>
  <c r="S9" i="13"/>
  <c r="AC23" i="1"/>
  <c r="R10" i="13"/>
  <c r="Y24" i="1"/>
  <c r="F27" i="1"/>
  <c r="L26" i="1"/>
  <c r="E26" i="1"/>
  <c r="AE27" i="1" l="1"/>
  <c r="B16" i="14"/>
  <c r="A24" i="1"/>
  <c r="A13" i="14"/>
  <c r="S10" i="13"/>
  <c r="B27" i="1"/>
  <c r="Q12" i="13"/>
  <c r="X26" i="1"/>
  <c r="Z26" i="1"/>
  <c r="R11" i="13"/>
  <c r="Y25" i="1"/>
  <c r="E27" i="1"/>
  <c r="F28" i="1"/>
  <c r="L27" i="1"/>
  <c r="O27" i="1"/>
  <c r="AD27" i="1"/>
  <c r="G28" i="1"/>
  <c r="AB27" i="1"/>
  <c r="AC25" i="1"/>
  <c r="AF25" i="1"/>
  <c r="AC24" i="1"/>
  <c r="AE28" i="1" l="1"/>
  <c r="B17" i="14"/>
  <c r="AD28" i="1"/>
  <c r="G29" i="1"/>
  <c r="O28" i="1"/>
  <c r="AB28" i="1"/>
  <c r="F29" i="1"/>
  <c r="L28" i="1"/>
  <c r="E28" i="1"/>
  <c r="A14" i="14"/>
  <c r="A25" i="1"/>
  <c r="S11" i="13"/>
  <c r="AC26" i="1"/>
  <c r="AF26" i="1"/>
  <c r="Q13" i="13"/>
  <c r="B28" i="1"/>
  <c r="Z27" i="1"/>
  <c r="X27" i="1"/>
  <c r="R12" i="13"/>
  <c r="Y26" i="1"/>
  <c r="AE29" i="1" l="1"/>
  <c r="B18" i="14"/>
  <c r="R13" i="13"/>
  <c r="Y27" i="1"/>
  <c r="L29" i="1"/>
  <c r="F30" i="1"/>
  <c r="E29" i="1"/>
  <c r="S12" i="13"/>
  <c r="A26" i="1"/>
  <c r="A15" i="14"/>
  <c r="AC27" i="1"/>
  <c r="AF27" i="1"/>
  <c r="Z28" i="1"/>
  <c r="B29" i="1"/>
  <c r="Q14" i="13"/>
  <c r="X28" i="1"/>
  <c r="O29" i="1"/>
  <c r="AD29" i="1"/>
  <c r="AE30" i="1" s="1"/>
  <c r="AB29" i="1"/>
  <c r="G30" i="1"/>
  <c r="B19" i="14" l="1"/>
  <c r="R14" i="13"/>
  <c r="Y28" i="1"/>
  <c r="O30" i="1"/>
  <c r="AB30" i="1"/>
  <c r="G31" i="1"/>
  <c r="AD30" i="1"/>
  <c r="AE31" i="1" s="1"/>
  <c r="AC28" i="1"/>
  <c r="AF28" i="1"/>
  <c r="Q15" i="13"/>
  <c r="Z29" i="1"/>
  <c r="B30" i="1"/>
  <c r="X29" i="1"/>
  <c r="E30" i="1"/>
  <c r="F31" i="1"/>
  <c r="L30" i="1"/>
  <c r="A16" i="14"/>
  <c r="S13" i="13"/>
  <c r="A27" i="1"/>
  <c r="X30" i="1" l="1"/>
  <c r="Z30" i="1"/>
  <c r="B31" i="1"/>
  <c r="Q16" i="13"/>
  <c r="G32" i="1"/>
  <c r="AB31" i="1"/>
  <c r="O31" i="1"/>
  <c r="AD31" i="1"/>
  <c r="AE32" i="1" s="1"/>
  <c r="B20" i="14"/>
  <c r="F32" i="1"/>
  <c r="E31" i="1"/>
  <c r="L31" i="1"/>
  <c r="AC29" i="1"/>
  <c r="AF29" i="1"/>
  <c r="R15" i="13"/>
  <c r="Y29" i="1"/>
  <c r="A17" i="14"/>
  <c r="S14" i="13"/>
  <c r="A28" i="1"/>
  <c r="B21" i="14" l="1"/>
  <c r="S15" i="13"/>
  <c r="A18" i="14"/>
  <c r="A29" i="1"/>
  <c r="E32" i="1"/>
  <c r="F33" i="1"/>
  <c r="L32" i="1"/>
  <c r="Y30" i="1"/>
  <c r="R16" i="13"/>
  <c r="O32" i="1"/>
  <c r="AD32" i="1"/>
  <c r="AB32" i="1"/>
  <c r="G33" i="1"/>
  <c r="X31" i="1"/>
  <c r="Z31" i="1"/>
  <c r="B32" i="1"/>
  <c r="Q17" i="13"/>
  <c r="AC30" i="1"/>
  <c r="AF30" i="1"/>
  <c r="AE33" i="1" l="1"/>
  <c r="B22" i="14"/>
  <c r="B33" i="1"/>
  <c r="Q18" i="13"/>
  <c r="Z32" i="1"/>
  <c r="X32" i="1"/>
  <c r="AC31" i="1"/>
  <c r="AF31" i="1"/>
  <c r="S16" i="13"/>
  <c r="A30" i="1"/>
  <c r="A19" i="14"/>
  <c r="E33" i="1"/>
  <c r="F34" i="1"/>
  <c r="L33" i="1"/>
  <c r="R17" i="13"/>
  <c r="Y31" i="1"/>
  <c r="O33" i="1"/>
  <c r="AB33" i="1"/>
  <c r="AD33" i="1"/>
  <c r="G34" i="1"/>
  <c r="AE34" i="1" l="1"/>
  <c r="B23" i="14"/>
  <c r="F35" i="1"/>
  <c r="L34" i="1"/>
  <c r="E34" i="1"/>
  <c r="R18" i="13"/>
  <c r="Y32" i="1"/>
  <c r="Q19" i="13"/>
  <c r="Z33" i="1"/>
  <c r="X33" i="1"/>
  <c r="B34" i="1"/>
  <c r="G35" i="1"/>
  <c r="AB34" i="1"/>
  <c r="O34" i="1"/>
  <c r="AD34" i="1"/>
  <c r="AE35" i="1" s="1"/>
  <c r="A31" i="1"/>
  <c r="A20" i="14"/>
  <c r="S17" i="13"/>
  <c r="AC32" i="1"/>
  <c r="AF32" i="1"/>
  <c r="B24" i="14" l="1"/>
  <c r="X34" i="1"/>
  <c r="Z34" i="1"/>
  <c r="B35" i="1"/>
  <c r="Q20" i="13"/>
  <c r="R19" i="13"/>
  <c r="Y33" i="1"/>
  <c r="A32" i="1"/>
  <c r="A21" i="14"/>
  <c r="S18" i="13"/>
  <c r="E35" i="1"/>
  <c r="L35" i="1"/>
  <c r="F36" i="1"/>
  <c r="G36" i="1"/>
  <c r="O35" i="1"/>
  <c r="AD35" i="1"/>
  <c r="AE36" i="1" s="1"/>
  <c r="AB35" i="1"/>
  <c r="AC33" i="1"/>
  <c r="AF33" i="1"/>
  <c r="B25" i="14" l="1"/>
  <c r="G37" i="1"/>
  <c r="AD36" i="1"/>
  <c r="AE37" i="1" s="1"/>
  <c r="O36" i="1"/>
  <c r="AB36" i="1"/>
  <c r="Z35" i="1"/>
  <c r="Q21" i="13"/>
  <c r="B36" i="1"/>
  <c r="X35" i="1"/>
  <c r="AC34" i="1"/>
  <c r="AF34" i="1"/>
  <c r="E36" i="1"/>
  <c r="F37" i="1"/>
  <c r="L36" i="1"/>
  <c r="S19" i="13"/>
  <c r="A22" i="14"/>
  <c r="A33" i="1"/>
  <c r="Y34" i="1"/>
  <c r="R20" i="13"/>
  <c r="S20" i="13" l="1"/>
  <c r="A34" i="1"/>
  <c r="A23" i="14"/>
  <c r="Z36" i="1"/>
  <c r="B37" i="1"/>
  <c r="X36" i="1"/>
  <c r="Q22" i="13"/>
  <c r="R21" i="13"/>
  <c r="Y35" i="1"/>
  <c r="G38" i="1"/>
  <c r="AB37" i="1"/>
  <c r="O37" i="1"/>
  <c r="AD37" i="1"/>
  <c r="AE38" i="1"/>
  <c r="B26" i="14"/>
  <c r="L37" i="1"/>
  <c r="F38" i="1"/>
  <c r="E37" i="1"/>
  <c r="AC35" i="1"/>
  <c r="AF35" i="1"/>
  <c r="L38" i="1" l="1"/>
  <c r="F39" i="1"/>
  <c r="E38" i="1"/>
  <c r="AD38" i="1"/>
  <c r="AE39" i="1" s="1"/>
  <c r="G39" i="1"/>
  <c r="AB38" i="1"/>
  <c r="O38" i="1"/>
  <c r="AC36" i="1"/>
  <c r="AF36" i="1"/>
  <c r="R22" i="13"/>
  <c r="Y36" i="1"/>
  <c r="B27" i="14"/>
  <c r="S21" i="13"/>
  <c r="A24" i="14"/>
  <c r="A35" i="1"/>
  <c r="Q23" i="13"/>
  <c r="X37" i="1"/>
  <c r="Z37" i="1"/>
  <c r="B38" i="1"/>
  <c r="R23" i="13" l="1"/>
  <c r="Y37" i="1"/>
  <c r="B28" i="14"/>
  <c r="E39" i="1"/>
  <c r="F40" i="1"/>
  <c r="L39" i="1"/>
  <c r="X38" i="1"/>
  <c r="Z38" i="1"/>
  <c r="Q24" i="13"/>
  <c r="B39" i="1"/>
  <c r="AC37" i="1"/>
  <c r="AF37" i="1"/>
  <c r="A25" i="14"/>
  <c r="S22" i="13"/>
  <c r="A36" i="1"/>
  <c r="O39" i="1"/>
  <c r="G40" i="1"/>
  <c r="AB39" i="1"/>
  <c r="AE40" i="1" s="1"/>
  <c r="AD39" i="1"/>
  <c r="B29" i="14" l="1"/>
  <c r="X39" i="1"/>
  <c r="B40" i="1"/>
  <c r="Q25" i="13"/>
  <c r="Z39" i="1"/>
  <c r="R24" i="13"/>
  <c r="Y38" i="1"/>
  <c r="S23" i="13"/>
  <c r="A37" i="1"/>
  <c r="A26" i="14"/>
  <c r="AB40" i="1"/>
  <c r="O40" i="1"/>
  <c r="G41" i="1"/>
  <c r="AD40" i="1"/>
  <c r="AE41" i="1" s="1"/>
  <c r="AF38" i="1"/>
  <c r="E40" i="1"/>
  <c r="F41" i="1"/>
  <c r="L40" i="1"/>
  <c r="B30" i="14" l="1"/>
  <c r="L41" i="1"/>
  <c r="E41" i="1"/>
  <c r="F42" i="1"/>
  <c r="AF39" i="1"/>
  <c r="AC38" i="1"/>
  <c r="G42" i="1"/>
  <c r="AB41" i="1"/>
  <c r="O41" i="1"/>
  <c r="AD41" i="1"/>
  <c r="AE42" i="1" s="1"/>
  <c r="S24" i="13"/>
  <c r="A27" i="14"/>
  <c r="A38" i="1"/>
  <c r="R25" i="13"/>
  <c r="Y39" i="1"/>
  <c r="X40" i="1"/>
  <c r="Q26" i="13"/>
  <c r="Z40" i="1"/>
  <c r="B41" i="1"/>
  <c r="B31" i="14" l="1"/>
  <c r="B42" i="1"/>
  <c r="Z41" i="1"/>
  <c r="Q27" i="13"/>
  <c r="X41" i="1"/>
  <c r="A39" i="1"/>
  <c r="S25" i="13"/>
  <c r="A28" i="14"/>
  <c r="O42" i="1"/>
  <c r="AD42" i="1"/>
  <c r="G43" i="1"/>
  <c r="AB42" i="1"/>
  <c r="L42" i="1"/>
  <c r="F43" i="1"/>
  <c r="E42" i="1"/>
  <c r="Y40" i="1"/>
  <c r="R26" i="13"/>
  <c r="AC40" i="1"/>
  <c r="AF40" i="1"/>
  <c r="AC39" i="1"/>
  <c r="AE43" i="1" l="1"/>
  <c r="B32" i="14"/>
  <c r="S26" i="13"/>
  <c r="A29" i="14"/>
  <c r="A40" i="1"/>
  <c r="E43" i="1"/>
  <c r="F44" i="1"/>
  <c r="L43" i="1"/>
  <c r="X42" i="1"/>
  <c r="B43" i="1"/>
  <c r="Z42" i="1"/>
  <c r="Q28" i="13"/>
  <c r="G44" i="1"/>
  <c r="O43" i="1"/>
  <c r="AB43" i="1"/>
  <c r="AD43" i="1"/>
  <c r="AC41" i="1"/>
  <c r="AF41" i="1"/>
  <c r="R27" i="13"/>
  <c r="Y41" i="1"/>
  <c r="AE44" i="1" l="1"/>
  <c r="B33" i="14"/>
  <c r="AD44" i="1"/>
  <c r="AB44" i="1"/>
  <c r="O44" i="1"/>
  <c r="G45" i="1"/>
  <c r="R28" i="13"/>
  <c r="Y42" i="1"/>
  <c r="AC42" i="1"/>
  <c r="AF42" i="1"/>
  <c r="F45" i="1"/>
  <c r="L44" i="1"/>
  <c r="E44" i="1"/>
  <c r="A30" i="14"/>
  <c r="A41" i="1"/>
  <c r="S27" i="13"/>
  <c r="Q29" i="13"/>
  <c r="X43" i="1"/>
  <c r="B44" i="1"/>
  <c r="Z43" i="1"/>
  <c r="AE45" i="1" l="1"/>
  <c r="B34" i="14"/>
  <c r="Q30" i="13"/>
  <c r="B45" i="1"/>
  <c r="X44" i="1"/>
  <c r="Z44" i="1"/>
  <c r="E45" i="1"/>
  <c r="F46" i="1"/>
  <c r="L45" i="1"/>
  <c r="R29" i="13"/>
  <c r="Y43" i="1"/>
  <c r="AF43" i="1"/>
  <c r="A31" i="14"/>
  <c r="S28" i="13"/>
  <c r="A42" i="1"/>
  <c r="O45" i="1"/>
  <c r="AD45" i="1"/>
  <c r="AE46" i="1" s="1"/>
  <c r="G46" i="1"/>
  <c r="AB45" i="1"/>
  <c r="G47" i="1" l="1"/>
  <c r="O46" i="1"/>
  <c r="AB46" i="1"/>
  <c r="AD46" i="1"/>
  <c r="AE47" i="1" s="1"/>
  <c r="A32" i="14"/>
  <c r="A43" i="1"/>
  <c r="S29" i="13"/>
  <c r="AC44" i="1"/>
  <c r="AF44" i="1"/>
  <c r="B35" i="14"/>
  <c r="AC43" i="1"/>
  <c r="F47" i="1"/>
  <c r="E46" i="1"/>
  <c r="L46" i="1"/>
  <c r="R30" i="13"/>
  <c r="Y44" i="1"/>
  <c r="X45" i="1"/>
  <c r="Z45" i="1"/>
  <c r="Q31" i="13"/>
  <c r="B46" i="1"/>
  <c r="B36" i="14" l="1"/>
  <c r="Z46" i="1"/>
  <c r="B47" i="1"/>
  <c r="Q32" i="13"/>
  <c r="X46" i="1"/>
  <c r="R31" i="13"/>
  <c r="Y45" i="1"/>
  <c r="S30" i="13"/>
  <c r="A44" i="1"/>
  <c r="A33" i="14"/>
  <c r="E47" i="1"/>
  <c r="L47" i="1"/>
  <c r="F48" i="1"/>
  <c r="AC45" i="1"/>
  <c r="AF45" i="1"/>
  <c r="AD47" i="1"/>
  <c r="O47" i="1"/>
  <c r="AB47" i="1"/>
  <c r="G48" i="1"/>
  <c r="AE48" i="1" l="1"/>
  <c r="B37" i="14"/>
  <c r="R32" i="13"/>
  <c r="Y46" i="1"/>
  <c r="AD48" i="1"/>
  <c r="O48" i="1"/>
  <c r="AB48" i="1"/>
  <c r="G49" i="1"/>
  <c r="E48" i="1"/>
  <c r="L48" i="1"/>
  <c r="F49" i="1"/>
  <c r="A34" i="14"/>
  <c r="S31" i="13"/>
  <c r="A45" i="1"/>
  <c r="AC46" i="1"/>
  <c r="AF46" i="1"/>
  <c r="Z47" i="1"/>
  <c r="Q33" i="13"/>
  <c r="B48" i="1"/>
  <c r="X47" i="1"/>
  <c r="AE49" i="1" l="1"/>
  <c r="B38" i="14"/>
  <c r="Z48" i="1"/>
  <c r="B49" i="1"/>
  <c r="Q34" i="13"/>
  <c r="X48" i="1"/>
  <c r="R33" i="13"/>
  <c r="Y47" i="1"/>
  <c r="F50" i="1"/>
  <c r="L49" i="1"/>
  <c r="E49" i="1"/>
  <c r="AC47" i="1"/>
  <c r="AF47" i="1"/>
  <c r="O49" i="1"/>
  <c r="AD49" i="1"/>
  <c r="AB49" i="1"/>
  <c r="G50" i="1"/>
  <c r="S32" i="13"/>
  <c r="A35" i="14"/>
  <c r="A46" i="1"/>
  <c r="AE50" i="1" l="1"/>
  <c r="B39" i="14"/>
  <c r="O50" i="1"/>
  <c r="G51" i="1"/>
  <c r="AB50" i="1"/>
  <c r="AD50" i="1"/>
  <c r="AE51" i="1" s="1"/>
  <c r="L50" i="1"/>
  <c r="E50" i="1"/>
  <c r="F51" i="1"/>
  <c r="R34" i="13"/>
  <c r="Y48" i="1"/>
  <c r="A47" i="1"/>
  <c r="A36" i="14"/>
  <c r="S33" i="13"/>
  <c r="AC48" i="1"/>
  <c r="AF48" i="1"/>
  <c r="B50" i="1"/>
  <c r="Z49" i="1"/>
  <c r="Q35" i="13"/>
  <c r="X49" i="1"/>
  <c r="B40" i="14" l="1"/>
  <c r="Q36" i="13"/>
  <c r="Z50" i="1"/>
  <c r="X50" i="1"/>
  <c r="B51" i="1"/>
  <c r="A37" i="14"/>
  <c r="A48" i="1"/>
  <c r="S34" i="13"/>
  <c r="F52" i="1"/>
  <c r="E51" i="1"/>
  <c r="L51" i="1"/>
  <c r="AC49" i="1"/>
  <c r="AF49" i="1"/>
  <c r="R35" i="13"/>
  <c r="Y49" i="1"/>
  <c r="G52" i="1"/>
  <c r="AD51" i="1"/>
  <c r="AB51" i="1"/>
  <c r="AE52" i="1" s="1"/>
  <c r="O51" i="1"/>
  <c r="B41" i="14" l="1"/>
  <c r="G53" i="1"/>
  <c r="O52" i="1"/>
  <c r="AD52" i="1"/>
  <c r="AE53" i="1" s="1"/>
  <c r="AB52" i="1"/>
  <c r="AF50" i="1"/>
  <c r="A38" i="14"/>
  <c r="S35" i="13"/>
  <c r="A49" i="1"/>
  <c r="F53" i="1"/>
  <c r="L52" i="1"/>
  <c r="E52" i="1"/>
  <c r="X51" i="1"/>
  <c r="Q37" i="13"/>
  <c r="Z51" i="1"/>
  <c r="B52" i="1"/>
  <c r="R36" i="13"/>
  <c r="Y50" i="1"/>
  <c r="B42" i="14" l="1"/>
  <c r="Y51" i="1"/>
  <c r="R37" i="13"/>
  <c r="AC51" i="1"/>
  <c r="AF51" i="1"/>
  <c r="AC50" i="1"/>
  <c r="O53" i="1"/>
  <c r="AD53" i="1"/>
  <c r="AE54" i="1" s="1"/>
  <c r="AB53" i="1"/>
  <c r="G54" i="1"/>
  <c r="S36" i="13"/>
  <c r="A39" i="14"/>
  <c r="A50" i="1"/>
  <c r="Q38" i="13"/>
  <c r="Z52" i="1"/>
  <c r="B53" i="1"/>
  <c r="X52" i="1"/>
  <c r="L53" i="1"/>
  <c r="F54" i="1"/>
  <c r="E53" i="1"/>
  <c r="B43" i="14" l="1"/>
  <c r="Z53" i="1"/>
  <c r="B54" i="1"/>
  <c r="Q39" i="13"/>
  <c r="X53" i="1"/>
  <c r="G55" i="1"/>
  <c r="AD54" i="1"/>
  <c r="O54" i="1"/>
  <c r="AB54" i="1"/>
  <c r="A51" i="1"/>
  <c r="S37" i="13"/>
  <c r="A40" i="14"/>
  <c r="L54" i="1"/>
  <c r="F55" i="1"/>
  <c r="E54" i="1"/>
  <c r="AC52" i="1"/>
  <c r="AF52" i="1"/>
  <c r="R38" i="13"/>
  <c r="Y52" i="1"/>
  <c r="AE55" i="1" l="1"/>
  <c r="B44" i="14"/>
  <c r="E55" i="1"/>
  <c r="L55" i="1"/>
  <c r="F56" i="1"/>
  <c r="AD55" i="1"/>
  <c r="O55" i="1"/>
  <c r="AB55" i="1"/>
  <c r="G56" i="1"/>
  <c r="Y53" i="1"/>
  <c r="R39" i="13"/>
  <c r="A52" i="1"/>
  <c r="S38" i="13"/>
  <c r="A41" i="14"/>
  <c r="AF53" i="1"/>
  <c r="X54" i="1"/>
  <c r="B55" i="1"/>
  <c r="Q40" i="13"/>
  <c r="Z54" i="1"/>
  <c r="AE56" i="1" l="1"/>
  <c r="B45" i="14"/>
  <c r="AF54" i="1"/>
  <c r="AC53" i="1"/>
  <c r="O56" i="1"/>
  <c r="AD56" i="1"/>
  <c r="AE57" i="1" s="1"/>
  <c r="AB56" i="1"/>
  <c r="G57" i="1"/>
  <c r="F57" i="1"/>
  <c r="E56" i="1"/>
  <c r="L56" i="1"/>
  <c r="R40" i="13"/>
  <c r="Y54" i="1"/>
  <c r="B56" i="1"/>
  <c r="Q41" i="13"/>
  <c r="X55" i="1"/>
  <c r="Z55" i="1"/>
  <c r="A53" i="1"/>
  <c r="A42" i="14"/>
  <c r="S39" i="13"/>
  <c r="B46" i="14" l="1"/>
  <c r="AC55" i="1"/>
  <c r="AF55" i="1"/>
  <c r="B57" i="1"/>
  <c r="X56" i="1"/>
  <c r="Z56" i="1"/>
  <c r="Q42" i="13"/>
  <c r="G58" i="1"/>
  <c r="AB57" i="1"/>
  <c r="O57" i="1"/>
  <c r="AD57" i="1"/>
  <c r="AE58" i="1" s="1"/>
  <c r="AC54" i="1"/>
  <c r="Y55" i="1"/>
  <c r="R41" i="13"/>
  <c r="A54" i="1"/>
  <c r="S40" i="13"/>
  <c r="A43" i="14"/>
  <c r="F58" i="1"/>
  <c r="E57" i="1"/>
  <c r="L57" i="1"/>
  <c r="E58" i="1" l="1"/>
  <c r="L58" i="1"/>
  <c r="F59" i="1"/>
  <c r="AB58" i="1"/>
  <c r="O58" i="1"/>
  <c r="AD58" i="1"/>
  <c r="AE59" i="1" s="1"/>
  <c r="G59" i="1"/>
  <c r="R42" i="13"/>
  <c r="Y56" i="1"/>
  <c r="X57" i="1"/>
  <c r="B58" i="1"/>
  <c r="Q43" i="13"/>
  <c r="Z57" i="1"/>
  <c r="B47" i="14"/>
  <c r="S41" i="13"/>
  <c r="A44" i="14"/>
  <c r="A55" i="1"/>
  <c r="AC56" i="1"/>
  <c r="AF56" i="1"/>
  <c r="B48" i="14" l="1"/>
  <c r="AF57" i="1"/>
  <c r="R43" i="13"/>
  <c r="Y57" i="1"/>
  <c r="Z58" i="1"/>
  <c r="B59" i="1"/>
  <c r="X58" i="1"/>
  <c r="Q44" i="13"/>
  <c r="S42" i="13"/>
  <c r="A56" i="1"/>
  <c r="A45" i="14"/>
  <c r="AD59" i="1"/>
  <c r="G60" i="1"/>
  <c r="O59" i="1"/>
  <c r="AB59" i="1"/>
  <c r="F60" i="1"/>
  <c r="E59" i="1"/>
  <c r="L59" i="1"/>
  <c r="AE60" i="1" l="1"/>
  <c r="B49" i="14"/>
  <c r="G61" i="1"/>
  <c r="AB60" i="1"/>
  <c r="AD60" i="1"/>
  <c r="O60" i="1"/>
  <c r="AC58" i="1"/>
  <c r="AF58" i="1"/>
  <c r="R44" i="13"/>
  <c r="Y58" i="1"/>
  <c r="AC57" i="1"/>
  <c r="E60" i="1"/>
  <c r="L60" i="1"/>
  <c r="F61" i="1"/>
  <c r="B60" i="1"/>
  <c r="X59" i="1"/>
  <c r="Z59" i="1"/>
  <c r="Q45" i="13"/>
  <c r="A57" i="1"/>
  <c r="A46" i="14"/>
  <c r="S43" i="13"/>
  <c r="AE61" i="1" l="1"/>
  <c r="B50" i="14"/>
  <c r="R45" i="13"/>
  <c r="Y59" i="1"/>
  <c r="X60" i="1"/>
  <c r="Q46" i="13"/>
  <c r="Z60" i="1"/>
  <c r="B61" i="1"/>
  <c r="O61" i="1"/>
  <c r="AD61" i="1"/>
  <c r="G62" i="1"/>
  <c r="AB61" i="1"/>
  <c r="AC59" i="1"/>
  <c r="AF59" i="1"/>
  <c r="F62" i="1"/>
  <c r="L61" i="1"/>
  <c r="E61" i="1"/>
  <c r="S44" i="13"/>
  <c r="A47" i="14"/>
  <c r="A58" i="1"/>
  <c r="AE62" i="1" l="1"/>
  <c r="B51" i="14"/>
  <c r="L62" i="1"/>
  <c r="E62" i="1"/>
  <c r="F63" i="1"/>
  <c r="O62" i="1"/>
  <c r="AD62" i="1"/>
  <c r="G63" i="1"/>
  <c r="AB62" i="1"/>
  <c r="R46" i="13"/>
  <c r="Y60" i="1"/>
  <c r="AF60" i="1"/>
  <c r="Z61" i="1"/>
  <c r="Q47" i="13"/>
  <c r="X61" i="1"/>
  <c r="B62" i="1"/>
  <c r="A59" i="1"/>
  <c r="A48" i="14"/>
  <c r="S45" i="13"/>
  <c r="AE63" i="1" l="1"/>
  <c r="B52" i="14"/>
  <c r="X62" i="1"/>
  <c r="Z62" i="1"/>
  <c r="B63" i="1"/>
  <c r="Q48" i="13"/>
  <c r="S46" i="13"/>
  <c r="A60" i="1"/>
  <c r="A49" i="14"/>
  <c r="F64" i="1"/>
  <c r="E63" i="1"/>
  <c r="L63" i="1"/>
  <c r="AC61" i="1"/>
  <c r="AF61" i="1"/>
  <c r="R47" i="13"/>
  <c r="Y61" i="1"/>
  <c r="AC60" i="1"/>
  <c r="G64" i="1"/>
  <c r="O63" i="1"/>
  <c r="AD63" i="1"/>
  <c r="AB63" i="1"/>
  <c r="AE64" i="1" l="1"/>
  <c r="B53" i="14"/>
  <c r="B64" i="1"/>
  <c r="X63" i="1"/>
  <c r="Z63" i="1"/>
  <c r="Q49" i="13"/>
  <c r="AC62" i="1"/>
  <c r="AF62" i="1"/>
  <c r="O64" i="1"/>
  <c r="AD64" i="1"/>
  <c r="G65" i="1"/>
  <c r="AB64" i="1"/>
  <c r="A50" i="14"/>
  <c r="A61" i="1"/>
  <c r="S47" i="13"/>
  <c r="E64" i="1"/>
  <c r="F65" i="1"/>
  <c r="L64" i="1"/>
  <c r="R48" i="13"/>
  <c r="Y62" i="1"/>
  <c r="AE65" i="1" l="1"/>
  <c r="B54" i="14"/>
  <c r="E65" i="1"/>
  <c r="L65" i="1"/>
  <c r="F66" i="1"/>
  <c r="O65" i="1"/>
  <c r="AD65" i="1"/>
  <c r="AB65" i="1"/>
  <c r="G66" i="1"/>
  <c r="Y63" i="1"/>
  <c r="R49" i="13"/>
  <c r="Z64" i="1"/>
  <c r="Q50" i="13"/>
  <c r="H17" i="12"/>
  <c r="E17" i="12"/>
  <c r="H7" i="12"/>
  <c r="F17" i="12"/>
  <c r="G17" i="12"/>
  <c r="E11" i="12"/>
  <c r="X64" i="1"/>
  <c r="G11" i="12"/>
  <c r="F11" i="12"/>
  <c r="F7" i="12"/>
  <c r="H11" i="12"/>
  <c r="H14" i="12" s="1"/>
  <c r="E7" i="12"/>
  <c r="E6" i="12" s="1"/>
  <c r="B65" i="1"/>
  <c r="G7" i="12"/>
  <c r="A51" i="14"/>
  <c r="S48" i="13"/>
  <c r="A62" i="1"/>
  <c r="AC63" i="1"/>
  <c r="AF63" i="1"/>
  <c r="AE66" i="1" l="1"/>
  <c r="B55" i="14"/>
  <c r="G31" i="12"/>
  <c r="G29" i="12"/>
  <c r="G6" i="12"/>
  <c r="G30" i="12"/>
  <c r="E29" i="12"/>
  <c r="E30" i="12"/>
  <c r="E31" i="12"/>
  <c r="F6" i="12"/>
  <c r="F29" i="12"/>
  <c r="F30" i="12"/>
  <c r="F31" i="12"/>
  <c r="G14" i="12"/>
  <c r="G13" i="12" s="1"/>
  <c r="E14" i="12"/>
  <c r="AD66" i="1"/>
  <c r="O66" i="1"/>
  <c r="G67" i="1"/>
  <c r="AB66" i="1"/>
  <c r="E66" i="1"/>
  <c r="F67" i="1"/>
  <c r="L66" i="1"/>
  <c r="X65" i="1"/>
  <c r="Q51" i="13"/>
  <c r="Z65" i="1"/>
  <c r="B66" i="1"/>
  <c r="F14" i="12"/>
  <c r="F13" i="12" s="1"/>
  <c r="AC64" i="1"/>
  <c r="AF64" i="1"/>
  <c r="H6" i="12"/>
  <c r="H28" i="12"/>
  <c r="H13" i="12"/>
  <c r="H29" i="12"/>
  <c r="Y64" i="1"/>
  <c r="R50" i="13"/>
  <c r="A63" i="1"/>
  <c r="A52" i="14"/>
  <c r="S49" i="13"/>
  <c r="AE67" i="1" l="1"/>
  <c r="B56" i="14"/>
  <c r="A53" i="14"/>
  <c r="A64" i="1"/>
  <c r="S50" i="13"/>
  <c r="X66" i="1"/>
  <c r="Q52" i="13"/>
  <c r="Z66" i="1"/>
  <c r="B67" i="1"/>
  <c r="G68" i="1"/>
  <c r="AD67" i="1"/>
  <c r="AB67" i="1"/>
  <c r="O67" i="1"/>
  <c r="R51" i="13"/>
  <c r="Y65" i="1"/>
  <c r="AC65" i="1"/>
  <c r="AF65" i="1"/>
  <c r="F68" i="1"/>
  <c r="L67" i="1"/>
  <c r="E67" i="1"/>
  <c r="E16" i="12"/>
  <c r="E13" i="12"/>
  <c r="AE68" i="1" l="1"/>
  <c r="B57" i="14"/>
  <c r="S51" i="13"/>
  <c r="A65" i="1"/>
  <c r="A54" i="14"/>
  <c r="X67" i="1"/>
  <c r="Z67" i="1"/>
  <c r="Q53" i="13"/>
  <c r="B68" i="1"/>
  <c r="L68" i="1"/>
  <c r="E68" i="1"/>
  <c r="F69" i="1"/>
  <c r="G69" i="1"/>
  <c r="O68" i="1"/>
  <c r="AB68" i="1"/>
  <c r="AD68" i="1"/>
  <c r="AE69" i="1" s="1"/>
  <c r="R52" i="13"/>
  <c r="Y66" i="1"/>
  <c r="AC66" i="1"/>
  <c r="AF66" i="1"/>
  <c r="B58" i="14" l="1"/>
  <c r="O69" i="1"/>
  <c r="AD69" i="1"/>
  <c r="AE70" i="1" s="1"/>
  <c r="G70" i="1"/>
  <c r="AB69" i="1"/>
  <c r="Q54" i="13"/>
  <c r="B69" i="1"/>
  <c r="Z68" i="1"/>
  <c r="X68" i="1"/>
  <c r="R53" i="13"/>
  <c r="Y67" i="1"/>
  <c r="A55" i="14"/>
  <c r="A66" i="1"/>
  <c r="S52" i="13"/>
  <c r="L69" i="1"/>
  <c r="F70" i="1"/>
  <c r="E69" i="1"/>
  <c r="AC67" i="1"/>
  <c r="AF67" i="1"/>
  <c r="E70" i="1" l="1"/>
  <c r="F71" i="1"/>
  <c r="L70" i="1"/>
  <c r="Y68" i="1"/>
  <c r="R54" i="13"/>
  <c r="O70" i="1"/>
  <c r="G71" i="1"/>
  <c r="AB70" i="1"/>
  <c r="AE71" i="1" s="1"/>
  <c r="AD70" i="1"/>
  <c r="B59" i="14"/>
  <c r="S53" i="13"/>
  <c r="A56" i="14"/>
  <c r="A67" i="1"/>
  <c r="AC68" i="1"/>
  <c r="AF68" i="1"/>
  <c r="B70" i="1"/>
  <c r="Q55" i="13"/>
  <c r="Z69" i="1"/>
  <c r="X69" i="1"/>
  <c r="B60" i="14" l="1"/>
  <c r="R55" i="13"/>
  <c r="Y69" i="1"/>
  <c r="B71" i="1"/>
  <c r="X70" i="1"/>
  <c r="Z70" i="1"/>
  <c r="Q56" i="13"/>
  <c r="S54" i="13"/>
  <c r="A57" i="14"/>
  <c r="A68" i="1"/>
  <c r="E71" i="1"/>
  <c r="L71" i="1"/>
  <c r="F72" i="1"/>
  <c r="AC69" i="1"/>
  <c r="AF69" i="1"/>
  <c r="O71" i="1"/>
  <c r="AD71" i="1"/>
  <c r="AE72" i="1" s="1"/>
  <c r="G72" i="1"/>
  <c r="AB71" i="1"/>
  <c r="G73" i="1" l="1"/>
  <c r="AB72" i="1"/>
  <c r="AD72" i="1"/>
  <c r="O72" i="1"/>
  <c r="Y70" i="1"/>
  <c r="R56" i="13"/>
  <c r="Q57" i="13"/>
  <c r="Z71" i="1"/>
  <c r="X71" i="1"/>
  <c r="B72" i="1"/>
  <c r="B61" i="14"/>
  <c r="AE73" i="1"/>
  <c r="L72" i="1"/>
  <c r="F73" i="1"/>
  <c r="E72" i="1"/>
  <c r="AC70" i="1"/>
  <c r="AF70" i="1"/>
  <c r="S55" i="13"/>
  <c r="A69" i="1"/>
  <c r="A58" i="14"/>
  <c r="B62" i="14" l="1"/>
  <c r="X72" i="1"/>
  <c r="B73" i="1"/>
  <c r="Z72" i="1"/>
  <c r="Q58" i="13"/>
  <c r="R57" i="13"/>
  <c r="Y71" i="1"/>
  <c r="L73" i="1"/>
  <c r="E73" i="1"/>
  <c r="F74" i="1"/>
  <c r="AF71" i="1"/>
  <c r="A59" i="14"/>
  <c r="A70" i="1"/>
  <c r="S56" i="13"/>
  <c r="AD73" i="1"/>
  <c r="AB73" i="1"/>
  <c r="O73" i="1"/>
  <c r="G74" i="1"/>
  <c r="AE74" i="1" l="1"/>
  <c r="B63" i="14"/>
  <c r="F75" i="1"/>
  <c r="L74" i="1"/>
  <c r="E74" i="1"/>
  <c r="R58" i="13"/>
  <c r="Y72" i="1"/>
  <c r="AF72" i="1"/>
  <c r="O74" i="1"/>
  <c r="G75" i="1"/>
  <c r="AB74" i="1"/>
  <c r="AD74" i="1"/>
  <c r="AE75" i="1" s="1"/>
  <c r="AC71" i="1"/>
  <c r="S57" i="13"/>
  <c r="A60" i="14"/>
  <c r="A71" i="1"/>
  <c r="Z73" i="1"/>
  <c r="B74" i="1"/>
  <c r="X73" i="1"/>
  <c r="Q59" i="13"/>
  <c r="B64" i="14" l="1"/>
  <c r="Q60" i="13"/>
  <c r="B75" i="1"/>
  <c r="Z74" i="1"/>
  <c r="X74" i="1"/>
  <c r="AD75" i="1"/>
  <c r="G76" i="1"/>
  <c r="AB75" i="1"/>
  <c r="O75" i="1"/>
  <c r="A72" i="1"/>
  <c r="A61" i="14"/>
  <c r="S58" i="13"/>
  <c r="L75" i="1"/>
  <c r="F76" i="1"/>
  <c r="E75" i="1"/>
  <c r="AC73" i="1"/>
  <c r="AF73" i="1"/>
  <c r="R59" i="13"/>
  <c r="Y73" i="1"/>
  <c r="AC72" i="1"/>
  <c r="AE76" i="1" l="1"/>
  <c r="B65" i="14"/>
  <c r="F77" i="1"/>
  <c r="L76" i="1"/>
  <c r="E76" i="1"/>
  <c r="R60" i="13"/>
  <c r="Y74" i="1"/>
  <c r="A73" i="1"/>
  <c r="A62" i="14"/>
  <c r="S59" i="13"/>
  <c r="O76" i="1"/>
  <c r="G77" i="1"/>
  <c r="AB76" i="1"/>
  <c r="AD76" i="1"/>
  <c r="AC74" i="1"/>
  <c r="AF74" i="1"/>
  <c r="Z75" i="1"/>
  <c r="B76" i="1"/>
  <c r="Q61" i="13"/>
  <c r="X75" i="1"/>
  <c r="AE77" i="1" l="1"/>
  <c r="B66" i="14"/>
  <c r="R61" i="13"/>
  <c r="Y75" i="1"/>
  <c r="S60" i="13"/>
  <c r="A63" i="14"/>
  <c r="A74" i="1"/>
  <c r="L77" i="1"/>
  <c r="F78" i="1"/>
  <c r="E77" i="1"/>
  <c r="AC75" i="1"/>
  <c r="AF75" i="1"/>
  <c r="Z76" i="1"/>
  <c r="B77" i="1"/>
  <c r="Q62" i="13"/>
  <c r="X76" i="1"/>
  <c r="G78" i="1"/>
  <c r="AB77" i="1"/>
  <c r="AD77" i="1"/>
  <c r="O77" i="1"/>
  <c r="AE78" i="1" l="1"/>
  <c r="B67" i="14"/>
  <c r="O78" i="1"/>
  <c r="G79" i="1"/>
  <c r="AB78" i="1"/>
  <c r="AD78" i="1"/>
  <c r="Y76" i="1"/>
  <c r="R62" i="13"/>
  <c r="E78" i="1"/>
  <c r="F79" i="1"/>
  <c r="L78" i="1"/>
  <c r="AF76" i="1"/>
  <c r="Q63" i="13"/>
  <c r="X77" i="1"/>
  <c r="Z77" i="1"/>
  <c r="B78" i="1"/>
  <c r="A75" i="1"/>
  <c r="S61" i="13"/>
  <c r="A64" i="14"/>
  <c r="AE79" i="1" l="1"/>
  <c r="B68" i="14"/>
  <c r="Z78" i="1"/>
  <c r="B79" i="1"/>
  <c r="Q64" i="13"/>
  <c r="X78" i="1"/>
  <c r="AC77" i="1"/>
  <c r="AF77" i="1"/>
  <c r="A65" i="14"/>
  <c r="S62" i="13"/>
  <c r="A76" i="1"/>
  <c r="R63" i="13"/>
  <c r="Y77" i="1"/>
  <c r="AC76" i="1"/>
  <c r="L79" i="1"/>
  <c r="E79" i="1"/>
  <c r="F80" i="1"/>
  <c r="O79" i="1"/>
  <c r="AD79" i="1"/>
  <c r="AB79" i="1"/>
  <c r="G80" i="1"/>
  <c r="AE80" i="1" l="1"/>
  <c r="B69" i="14"/>
  <c r="O80" i="1"/>
  <c r="AD80" i="1"/>
  <c r="G81" i="1"/>
  <c r="AB80" i="1"/>
  <c r="F81" i="1"/>
  <c r="E80" i="1"/>
  <c r="L80" i="1"/>
  <c r="S63" i="13"/>
  <c r="A77" i="1"/>
  <c r="A66" i="14"/>
  <c r="R64" i="13"/>
  <c r="Y78" i="1"/>
  <c r="AF78" i="1"/>
  <c r="X79" i="1"/>
  <c r="B80" i="1"/>
  <c r="Q65" i="13"/>
  <c r="Z79" i="1"/>
  <c r="AE81" i="1" l="1"/>
  <c r="AE82" i="1"/>
  <c r="B70" i="14"/>
  <c r="AC79" i="1"/>
  <c r="AF79" i="1"/>
  <c r="AC78" i="1"/>
  <c r="E81" i="1"/>
  <c r="F82" i="1"/>
  <c r="L81" i="1"/>
  <c r="O81" i="1"/>
  <c r="AD81" i="1"/>
  <c r="G82" i="1"/>
  <c r="AB81" i="1"/>
  <c r="R65" i="13"/>
  <c r="Y79" i="1"/>
  <c r="Q66" i="13"/>
  <c r="X80" i="1"/>
  <c r="Z80" i="1"/>
  <c r="B81" i="1"/>
  <c r="A78" i="1"/>
  <c r="A67" i="14"/>
  <c r="S64" i="13"/>
  <c r="R66" i="13" l="1"/>
  <c r="Y80" i="1"/>
  <c r="G83" i="1"/>
  <c r="AD82" i="1"/>
  <c r="AE83" i="1" s="1"/>
  <c r="AB82" i="1"/>
  <c r="O82" i="1"/>
  <c r="F83" i="1"/>
  <c r="E82" i="1"/>
  <c r="L82" i="1"/>
  <c r="B71" i="14"/>
  <c r="X81" i="1"/>
  <c r="Z81" i="1"/>
  <c r="B82" i="1"/>
  <c r="Q67" i="13"/>
  <c r="AC80" i="1"/>
  <c r="AF80" i="1"/>
  <c r="A79" i="1"/>
  <c r="S65" i="13"/>
  <c r="A68" i="14"/>
  <c r="B72" i="14" l="1"/>
  <c r="R67" i="13"/>
  <c r="Y81" i="1"/>
  <c r="A80" i="1"/>
  <c r="S66" i="13"/>
  <c r="A69" i="14"/>
  <c r="Z82" i="1"/>
  <c r="Q68" i="13"/>
  <c r="B83" i="1"/>
  <c r="X82" i="1"/>
  <c r="AF81" i="1"/>
  <c r="F84" i="1"/>
  <c r="L83" i="1"/>
  <c r="E83" i="1"/>
  <c r="AB83" i="1"/>
  <c r="O83" i="1"/>
  <c r="AD83" i="1"/>
  <c r="AE84" i="1" s="1"/>
  <c r="G84" i="1"/>
  <c r="B73" i="14" l="1"/>
  <c r="AC82" i="1"/>
  <c r="AF82" i="1"/>
  <c r="G85" i="1"/>
  <c r="O84" i="1"/>
  <c r="AB84" i="1"/>
  <c r="AE85" i="1" s="1"/>
  <c r="AD84" i="1"/>
  <c r="E84" i="1"/>
  <c r="L84" i="1"/>
  <c r="F85" i="1"/>
  <c r="AC81" i="1"/>
  <c r="Q69" i="13"/>
  <c r="B84" i="1"/>
  <c r="Z83" i="1"/>
  <c r="X83" i="1"/>
  <c r="Y82" i="1"/>
  <c r="R68" i="13"/>
  <c r="S67" i="13"/>
  <c r="A81" i="1"/>
  <c r="A70" i="14"/>
  <c r="B74" i="14" l="1"/>
  <c r="A82" i="1"/>
  <c r="A71" i="14"/>
  <c r="S68" i="13"/>
  <c r="R69" i="13"/>
  <c r="Y83" i="1"/>
  <c r="F86" i="1"/>
  <c r="E85" i="1"/>
  <c r="L85" i="1"/>
  <c r="G86" i="1"/>
  <c r="AD85" i="1"/>
  <c r="AE86" i="1" s="1"/>
  <c r="O85" i="1"/>
  <c r="AB85" i="1"/>
  <c r="AF83" i="1"/>
  <c r="B85" i="1"/>
  <c r="Q70" i="13"/>
  <c r="X84" i="1"/>
  <c r="Z84" i="1"/>
  <c r="AF84" i="1" l="1"/>
  <c r="X85" i="1"/>
  <c r="Q71" i="13"/>
  <c r="Z85" i="1"/>
  <c r="B86" i="1"/>
  <c r="AC83" i="1"/>
  <c r="AD86" i="1"/>
  <c r="AE87" i="1" s="1"/>
  <c r="AB86" i="1"/>
  <c r="O86" i="1"/>
  <c r="G87" i="1"/>
  <c r="A83" i="1"/>
  <c r="S69" i="13"/>
  <c r="A72" i="14"/>
  <c r="B75" i="14"/>
  <c r="R70" i="13"/>
  <c r="Y84" i="1"/>
  <c r="E86" i="1"/>
  <c r="F87" i="1"/>
  <c r="L86" i="1"/>
  <c r="B76" i="14" l="1"/>
  <c r="Q72" i="13"/>
  <c r="Z86" i="1"/>
  <c r="X86" i="1"/>
  <c r="B87" i="1"/>
  <c r="E87" i="1"/>
  <c r="L87" i="1"/>
  <c r="F88" i="1"/>
  <c r="A84" i="1"/>
  <c r="S70" i="13"/>
  <c r="A73" i="14"/>
  <c r="O87" i="1"/>
  <c r="AB87" i="1"/>
  <c r="AD87" i="1"/>
  <c r="AE88" i="1" s="1"/>
  <c r="G88" i="1"/>
  <c r="R71" i="13"/>
  <c r="Y85" i="1"/>
  <c r="AC85" i="1"/>
  <c r="AF85" i="1"/>
  <c r="AC84" i="1"/>
  <c r="B77" i="14" l="1"/>
  <c r="E88" i="1"/>
  <c r="L88" i="1"/>
  <c r="F89" i="1"/>
  <c r="AF86" i="1"/>
  <c r="A85" i="1"/>
  <c r="A74" i="14"/>
  <c r="S71" i="13"/>
  <c r="G89" i="1"/>
  <c r="AB88" i="1"/>
  <c r="O88" i="1"/>
  <c r="AD88" i="1"/>
  <c r="AE89" i="1" s="1"/>
  <c r="B88" i="1"/>
  <c r="Q73" i="13"/>
  <c r="X87" i="1"/>
  <c r="Z87" i="1"/>
  <c r="R72" i="13"/>
  <c r="Y86" i="1"/>
  <c r="AF87" i="1" l="1"/>
  <c r="Z88" i="1"/>
  <c r="Q74" i="13"/>
  <c r="B89" i="1"/>
  <c r="X88" i="1"/>
  <c r="AD89" i="1"/>
  <c r="AE90" i="1" s="1"/>
  <c r="AB89" i="1"/>
  <c r="O89" i="1"/>
  <c r="G90" i="1"/>
  <c r="E89" i="1"/>
  <c r="F90" i="1"/>
  <c r="L89" i="1"/>
  <c r="B78" i="14"/>
  <c r="S72" i="13"/>
  <c r="A86" i="1"/>
  <c r="A75" i="14"/>
  <c r="R73" i="13"/>
  <c r="Y87" i="1"/>
  <c r="AC86" i="1"/>
  <c r="B79" i="14" l="1"/>
  <c r="E90" i="1"/>
  <c r="L90" i="1"/>
  <c r="F91" i="1"/>
  <c r="G91" i="1"/>
  <c r="AD90" i="1"/>
  <c r="O90" i="1"/>
  <c r="AB90" i="1"/>
  <c r="AF88" i="1"/>
  <c r="A87" i="1"/>
  <c r="A76" i="14"/>
  <c r="S73" i="13"/>
  <c r="B90" i="1"/>
  <c r="X89" i="1"/>
  <c r="Z89" i="1"/>
  <c r="Q75" i="13"/>
  <c r="R74" i="13"/>
  <c r="Y88" i="1"/>
  <c r="AC87" i="1"/>
  <c r="AE91" i="1" l="1"/>
  <c r="B80" i="14"/>
  <c r="R75" i="13"/>
  <c r="Y89" i="1"/>
  <c r="B91" i="1"/>
  <c r="X90" i="1"/>
  <c r="Q76" i="13"/>
  <c r="Z90" i="1"/>
  <c r="E91" i="1"/>
  <c r="L91" i="1"/>
  <c r="F92" i="1"/>
  <c r="A77" i="14"/>
  <c r="A88" i="1"/>
  <c r="S74" i="13"/>
  <c r="AC89" i="1"/>
  <c r="AF89" i="1"/>
  <c r="AC88" i="1"/>
  <c r="O91" i="1"/>
  <c r="AB91" i="1"/>
  <c r="AD91" i="1"/>
  <c r="AE92" i="1" s="1"/>
  <c r="G92" i="1"/>
  <c r="B81" i="14" l="1"/>
  <c r="AD92" i="1"/>
  <c r="AE93" i="1" s="1"/>
  <c r="O92" i="1"/>
  <c r="G93" i="1"/>
  <c r="AB92" i="1"/>
  <c r="L92" i="1"/>
  <c r="E92" i="1"/>
  <c r="F93" i="1"/>
  <c r="Z91" i="1"/>
  <c r="X91" i="1"/>
  <c r="Q77" i="13"/>
  <c r="B92" i="1"/>
  <c r="Y90" i="1"/>
  <c r="R76" i="13"/>
  <c r="AF90" i="1"/>
  <c r="A78" i="14"/>
  <c r="S75" i="13"/>
  <c r="A89" i="1"/>
  <c r="B82" i="14" l="1"/>
  <c r="Z92" i="1"/>
  <c r="Q78" i="13"/>
  <c r="B93" i="1"/>
  <c r="X92" i="1"/>
  <c r="AC91" i="1"/>
  <c r="AF91" i="1"/>
  <c r="E93" i="1"/>
  <c r="F94" i="1"/>
  <c r="L93" i="1"/>
  <c r="O93" i="1"/>
  <c r="AB93" i="1"/>
  <c r="AD93" i="1"/>
  <c r="G94" i="1"/>
  <c r="AC90" i="1"/>
  <c r="S76" i="13"/>
  <c r="A90" i="1"/>
  <c r="A79" i="14"/>
  <c r="R77" i="13"/>
  <c r="Y91" i="1"/>
  <c r="AE94" i="1" l="1"/>
  <c r="B83" i="14"/>
  <c r="A80" i="14"/>
  <c r="A91" i="1"/>
  <c r="S77" i="13"/>
  <c r="O94" i="1"/>
  <c r="AD94" i="1"/>
  <c r="AB94" i="1"/>
  <c r="G95" i="1"/>
  <c r="Z93" i="1"/>
  <c r="Q79" i="13"/>
  <c r="X93" i="1"/>
  <c r="B94" i="1"/>
  <c r="Y92" i="1"/>
  <c r="R78" i="13"/>
  <c r="E94" i="1"/>
  <c r="F95" i="1"/>
  <c r="L94" i="1"/>
  <c r="AC92" i="1"/>
  <c r="AF92" i="1"/>
  <c r="AE95" i="1" l="1"/>
  <c r="B84" i="14"/>
  <c r="L95" i="1"/>
  <c r="E95" i="1"/>
  <c r="F96" i="1"/>
  <c r="X94" i="1"/>
  <c r="B95" i="1"/>
  <c r="Z94" i="1"/>
  <c r="Q80" i="13"/>
  <c r="AB95" i="1"/>
  <c r="O95" i="1"/>
  <c r="G96" i="1"/>
  <c r="AD95" i="1"/>
  <c r="S78" i="13"/>
  <c r="A92" i="1"/>
  <c r="A81" i="14"/>
  <c r="AC93" i="1"/>
  <c r="AF93" i="1"/>
  <c r="R79" i="13"/>
  <c r="Y93" i="1"/>
  <c r="AE96" i="1" l="1"/>
  <c r="B85" i="14"/>
  <c r="Z95" i="1"/>
  <c r="B96" i="1"/>
  <c r="X95" i="1"/>
  <c r="Q81" i="13"/>
  <c r="E96" i="1"/>
  <c r="F97" i="1"/>
  <c r="L96" i="1"/>
  <c r="S79" i="13"/>
  <c r="A82" i="14"/>
  <c r="A93" i="1"/>
  <c r="G97" i="1"/>
  <c r="AB96" i="1"/>
  <c r="O96" i="1"/>
  <c r="AD96" i="1"/>
  <c r="AE97" i="1" s="1"/>
  <c r="R80" i="13"/>
  <c r="Y94" i="1"/>
  <c r="AC94" i="1"/>
  <c r="AF94" i="1"/>
  <c r="B86" i="14" l="1"/>
  <c r="AB97" i="1"/>
  <c r="AD97" i="1"/>
  <c r="G98" i="1"/>
  <c r="O97" i="1"/>
  <c r="AC95" i="1"/>
  <c r="AF95" i="1"/>
  <c r="R81" i="13"/>
  <c r="Y95" i="1"/>
  <c r="S80" i="13"/>
  <c r="A83" i="14"/>
  <c r="A94" i="1"/>
  <c r="E97" i="1"/>
  <c r="F98" i="1"/>
  <c r="L97" i="1"/>
  <c r="B97" i="1"/>
  <c r="Z96" i="1"/>
  <c r="Q82" i="13"/>
  <c r="X96" i="1"/>
  <c r="AE98" i="1" l="1"/>
  <c r="B87" i="14"/>
  <c r="X97" i="1"/>
  <c r="Q83" i="13"/>
  <c r="B98" i="1"/>
  <c r="Z97" i="1"/>
  <c r="F99" i="1"/>
  <c r="L98" i="1"/>
  <c r="E98" i="1"/>
  <c r="G99" i="1"/>
  <c r="AB98" i="1"/>
  <c r="O98" i="1"/>
  <c r="AD98" i="1"/>
  <c r="AE99" i="1" s="1"/>
  <c r="AF96" i="1"/>
  <c r="R82" i="13"/>
  <c r="Y96" i="1"/>
  <c r="A84" i="14"/>
  <c r="S81" i="13"/>
  <c r="A95" i="1"/>
  <c r="B88" i="14" l="1"/>
  <c r="A96" i="1"/>
  <c r="A85" i="14"/>
  <c r="S82" i="13"/>
  <c r="F100" i="1"/>
  <c r="L99" i="1"/>
  <c r="E99" i="1"/>
  <c r="Q84" i="13"/>
  <c r="B99" i="1"/>
  <c r="X98" i="1"/>
  <c r="Z98" i="1"/>
  <c r="AC97" i="1"/>
  <c r="AF97" i="1"/>
  <c r="AC96" i="1"/>
  <c r="G100" i="1"/>
  <c r="O99" i="1"/>
  <c r="AB99" i="1"/>
  <c r="AD99" i="1"/>
  <c r="AE100" i="1" s="1"/>
  <c r="R83" i="13"/>
  <c r="Y97" i="1"/>
  <c r="B89" i="14" l="1"/>
  <c r="A97" i="1"/>
  <c r="S83" i="13"/>
  <c r="A86" i="14"/>
  <c r="AF98" i="1"/>
  <c r="O100" i="1"/>
  <c r="G101" i="1"/>
  <c r="AB100" i="1"/>
  <c r="AD100" i="1"/>
  <c r="R84" i="13"/>
  <c r="Y98" i="1"/>
  <c r="B100" i="1"/>
  <c r="Z99" i="1"/>
  <c r="X99" i="1"/>
  <c r="Q85" i="13"/>
  <c r="E100" i="1"/>
  <c r="L100" i="1"/>
  <c r="F101" i="1"/>
  <c r="AE101" i="1" l="1"/>
  <c r="B90" i="14"/>
  <c r="R85" i="13"/>
  <c r="Y99" i="1"/>
  <c r="S84" i="13"/>
  <c r="A98" i="1"/>
  <c r="A87" i="14"/>
  <c r="O101" i="1"/>
  <c r="AB101" i="1"/>
  <c r="G102" i="1"/>
  <c r="AD101" i="1"/>
  <c r="AE102" i="1" s="1"/>
  <c r="F102" i="1"/>
  <c r="L101" i="1"/>
  <c r="E101" i="1"/>
  <c r="AF99" i="1"/>
  <c r="B101" i="1"/>
  <c r="Q86" i="13"/>
  <c r="X100" i="1"/>
  <c r="Z100" i="1"/>
  <c r="AC98" i="1"/>
  <c r="B91" i="14" l="1"/>
  <c r="AC100" i="1"/>
  <c r="AF100" i="1"/>
  <c r="B102" i="1"/>
  <c r="Z101" i="1"/>
  <c r="Q87" i="13"/>
  <c r="X101" i="1"/>
  <c r="AC99" i="1"/>
  <c r="Y100" i="1"/>
  <c r="R86" i="13"/>
  <c r="E102" i="1"/>
  <c r="F103" i="1"/>
  <c r="L102" i="1"/>
  <c r="AB102" i="1"/>
  <c r="AE103" i="1" s="1"/>
  <c r="G103" i="1"/>
  <c r="O102" i="1"/>
  <c r="AD102" i="1"/>
  <c r="A88" i="14"/>
  <c r="S85" i="13"/>
  <c r="A99" i="1"/>
  <c r="B92" i="14" l="1"/>
  <c r="E103" i="1"/>
  <c r="L103" i="1"/>
  <c r="F104" i="1"/>
  <c r="B103" i="1"/>
  <c r="X102" i="1"/>
  <c r="Q88" i="13"/>
  <c r="Z102" i="1"/>
  <c r="G104" i="1"/>
  <c r="O103" i="1"/>
  <c r="AD103" i="1"/>
  <c r="AB103" i="1"/>
  <c r="AE104" i="1" s="1"/>
  <c r="A89" i="14"/>
  <c r="A100" i="1"/>
  <c r="S86" i="13"/>
  <c r="AC101" i="1"/>
  <c r="AF101" i="1"/>
  <c r="R87" i="13"/>
  <c r="Y101" i="1"/>
  <c r="B93" i="14" l="1"/>
  <c r="Y102" i="1"/>
  <c r="R88" i="13"/>
  <c r="AC102" i="1"/>
  <c r="AF102" i="1"/>
  <c r="E104" i="1"/>
  <c r="L104" i="1"/>
  <c r="F105" i="1"/>
  <c r="A90" i="14"/>
  <c r="S87" i="13"/>
  <c r="A101" i="1"/>
  <c r="AB104" i="1"/>
  <c r="AE105" i="1" s="1"/>
  <c r="O104" i="1"/>
  <c r="G105" i="1"/>
  <c r="AD104" i="1"/>
  <c r="Z103" i="1"/>
  <c r="X103" i="1"/>
  <c r="Q89" i="13"/>
  <c r="B104" i="1"/>
  <c r="B94" i="14" l="1"/>
  <c r="R89" i="13"/>
  <c r="Y103" i="1"/>
  <c r="O105" i="1"/>
  <c r="G106" i="1"/>
  <c r="AD105" i="1"/>
  <c r="AE106" i="1" s="1"/>
  <c r="AB105" i="1"/>
  <c r="L105" i="1"/>
  <c r="F106" i="1"/>
  <c r="E105" i="1"/>
  <c r="S88" i="13"/>
  <c r="A102" i="1"/>
  <c r="A91" i="14"/>
  <c r="Z104" i="1"/>
  <c r="X104" i="1"/>
  <c r="Q90" i="13"/>
  <c r="B105" i="1"/>
  <c r="AC103" i="1"/>
  <c r="AF103" i="1"/>
  <c r="B95" i="14" l="1"/>
  <c r="Y104" i="1"/>
  <c r="R90" i="13"/>
  <c r="Q91" i="13"/>
  <c r="Z105" i="1"/>
  <c r="X105" i="1"/>
  <c r="B106" i="1"/>
  <c r="AC104" i="1"/>
  <c r="AF104" i="1"/>
  <c r="L106" i="1"/>
  <c r="F107" i="1"/>
  <c r="E106" i="1"/>
  <c r="O106" i="1"/>
  <c r="AD106" i="1"/>
  <c r="AE107" i="1" s="1"/>
  <c r="AB106" i="1"/>
  <c r="G107" i="1"/>
  <c r="A103" i="1"/>
  <c r="S89" i="13"/>
  <c r="A92" i="14"/>
  <c r="B96" i="14" l="1"/>
  <c r="G108" i="1"/>
  <c r="AD107" i="1"/>
  <c r="O107" i="1"/>
  <c r="AB107" i="1"/>
  <c r="AF105" i="1"/>
  <c r="A93" i="14"/>
  <c r="A104" i="1"/>
  <c r="S90" i="13"/>
  <c r="F108" i="1"/>
  <c r="L107" i="1"/>
  <c r="E107" i="1"/>
  <c r="Q92" i="13"/>
  <c r="Z106" i="1"/>
  <c r="X106" i="1"/>
  <c r="B107" i="1"/>
  <c r="R91" i="13"/>
  <c r="Y105" i="1"/>
  <c r="AE108" i="1" l="1"/>
  <c r="B97" i="14"/>
  <c r="AC106" i="1"/>
  <c r="AF106" i="1"/>
  <c r="AC105" i="1"/>
  <c r="O108" i="1"/>
  <c r="AD108" i="1"/>
  <c r="G109" i="1"/>
  <c r="AB108" i="1"/>
  <c r="S91" i="13"/>
  <c r="A94" i="14"/>
  <c r="A105" i="1"/>
  <c r="Q93" i="13"/>
  <c r="X107" i="1"/>
  <c r="B108" i="1"/>
  <c r="Z107" i="1"/>
  <c r="R92" i="13"/>
  <c r="Y106" i="1"/>
  <c r="L108" i="1"/>
  <c r="F109" i="1"/>
  <c r="E108" i="1"/>
  <c r="AE109" i="1" l="1"/>
  <c r="B98" i="14"/>
  <c r="Z108" i="1"/>
  <c r="Q94" i="13"/>
  <c r="X108" i="1"/>
  <c r="B109" i="1"/>
  <c r="L109" i="1"/>
  <c r="E109" i="1"/>
  <c r="S92" i="13"/>
  <c r="A106" i="1"/>
  <c r="A95" i="14"/>
  <c r="R93" i="13"/>
  <c r="Y107" i="1"/>
  <c r="AC107" i="1"/>
  <c r="AF107" i="1"/>
  <c r="AB109" i="1"/>
  <c r="O109" i="1"/>
  <c r="AD109" i="1"/>
  <c r="Z109" i="1" l="1"/>
  <c r="X109" i="1"/>
  <c r="Q95" i="13"/>
  <c r="L111" i="1"/>
  <c r="V6" i="1" s="1"/>
  <c r="Z7" i="1" s="1"/>
  <c r="R111" i="1"/>
  <c r="A3" i="14"/>
  <c r="A4" i="14"/>
  <c r="B12" i="1"/>
  <c r="H16" i="12" s="1"/>
  <c r="AG17" i="1" s="1"/>
  <c r="U111" i="1"/>
  <c r="A2" i="14"/>
  <c r="O111" i="1"/>
  <c r="A107" i="1"/>
  <c r="S93" i="13"/>
  <c r="A96" i="14"/>
  <c r="AF108" i="1"/>
  <c r="R94" i="13"/>
  <c r="Y108" i="1"/>
  <c r="A97" i="14" l="1"/>
  <c r="S94" i="13"/>
  <c r="A108" i="1"/>
  <c r="AC109" i="1"/>
  <c r="AF109" i="1"/>
  <c r="AC108" i="1"/>
  <c r="R95" i="13"/>
  <c r="Y109" i="1"/>
  <c r="S95" i="13" l="1"/>
  <c r="A109" i="1"/>
  <c r="A98" i="14"/>
</calcChain>
</file>

<file path=xl/comments1.xml><?xml version="1.0" encoding="utf-8"?>
<comments xmlns="http://schemas.openxmlformats.org/spreadsheetml/2006/main">
  <authors>
    <author>Sean McCarthy</author>
    <author>Cameron Henderson</author>
  </authors>
  <commentList>
    <comment ref="F6" authorId="0" shapeId="0">
      <text>
        <r>
          <rPr>
            <sz val="9"/>
            <color indexed="81"/>
            <rFont val="Tahoma"/>
            <family val="2"/>
          </rPr>
          <t>Use 1 day to start and then change once cow numbers in the columns below make sense</t>
        </r>
      </text>
    </comment>
    <comment ref="V12" authorId="1" shapeId="0">
      <text>
        <r>
          <rPr>
            <sz val="9"/>
            <color indexed="81"/>
            <rFont val="Tahoma"/>
            <family val="2"/>
          </rPr>
          <t xml:space="preserve">Predicted pasture growth on this day
</t>
        </r>
      </text>
    </comment>
    <comment ref="W12" authorId="1" shapeId="0">
      <text>
        <r>
          <rPr>
            <sz val="9"/>
            <color indexed="81"/>
            <rFont val="Tahoma"/>
            <family val="2"/>
          </rPr>
          <t xml:space="preserve">Actual average pasture cover on this day. Fill this in during srping
</t>
        </r>
      </text>
    </comment>
    <comment ref="AA12" authorId="1" shapeId="0">
      <text>
        <r>
          <rPr>
            <sz val="9"/>
            <color indexed="81"/>
            <rFont val="Tahoma"/>
            <family val="2"/>
          </rPr>
          <t xml:space="preserve">Actual round length on this day. Fill this in during spring
</t>
        </r>
      </text>
    </comment>
    <comment ref="C13" authorId="1" shapeId="0">
      <text>
        <r>
          <rPr>
            <sz val="9"/>
            <color indexed="81"/>
            <rFont val="Tahoma"/>
            <family val="2"/>
          </rPr>
          <t xml:space="preserve">Cows arriving onto the milking platform this day
</t>
        </r>
      </text>
    </comment>
    <comment ref="D13" authorId="1" shapeId="0">
      <text>
        <r>
          <rPr>
            <sz val="9"/>
            <color indexed="81"/>
            <rFont val="Tahoma"/>
            <family val="2"/>
          </rPr>
          <t xml:space="preserve">Cows calving on this day
</t>
        </r>
      </text>
    </comment>
    <comment ref="E13" authorId="1" shapeId="0">
      <text>
        <r>
          <rPr>
            <sz val="9"/>
            <color indexed="81"/>
            <rFont val="Tahoma"/>
            <family val="2"/>
          </rPr>
          <t xml:space="preserve">Number of cows off the milking platform
</t>
        </r>
      </text>
    </comment>
    <comment ref="F13" authorId="1" shapeId="0">
      <text>
        <r>
          <rPr>
            <sz val="9"/>
            <color indexed="81"/>
            <rFont val="Tahoma"/>
            <family val="2"/>
          </rPr>
          <t>Total dry cows on the milking platform</t>
        </r>
      </text>
    </comment>
    <comment ref="G13" authorId="1" shapeId="0">
      <text>
        <r>
          <rPr>
            <sz val="9"/>
            <color indexed="81"/>
            <rFont val="Tahoma"/>
            <family val="2"/>
          </rPr>
          <t xml:space="preserve">Total springer cows on the milking platform
</t>
        </r>
      </text>
    </comment>
    <comment ref="H13" authorId="1" shapeId="0">
      <text>
        <r>
          <rPr>
            <sz val="9"/>
            <color indexed="81"/>
            <rFont val="Tahoma"/>
            <family val="2"/>
          </rPr>
          <t xml:space="preserve">Total colostrum cows on the milking platform
</t>
        </r>
      </text>
    </comment>
    <comment ref="I13" authorId="1" shapeId="0">
      <text>
        <r>
          <rPr>
            <sz val="9"/>
            <color indexed="81"/>
            <rFont val="Tahoma"/>
            <family val="2"/>
          </rPr>
          <t>Total milking cows on the milking platform</t>
        </r>
      </text>
    </comment>
    <comment ref="X13" authorId="1" shapeId="0">
      <text>
        <r>
          <rPr>
            <sz val="9"/>
            <color indexed="81"/>
            <rFont val="Tahoma"/>
            <family val="2"/>
          </rPr>
          <t xml:space="preserve">SRP target average pasture cover
</t>
        </r>
      </text>
    </comment>
    <comment ref="Z13" authorId="1" shapeId="0">
      <text>
        <r>
          <rPr>
            <sz val="9"/>
            <color indexed="81"/>
            <rFont val="Tahoma"/>
            <family val="2"/>
          </rPr>
          <t xml:space="preserve">SRP target round length
</t>
        </r>
      </text>
    </comment>
    <comment ref="AB13" authorId="1" shapeId="0">
      <text>
        <r>
          <rPr>
            <sz val="9"/>
            <color indexed="81"/>
            <rFont val="Tahoma"/>
            <family val="2"/>
          </rPr>
          <t xml:space="preserve">Total feed required by all animals on the platform
</t>
        </r>
      </text>
    </comment>
    <comment ref="AC13" authorId="1" shapeId="0">
      <text>
        <r>
          <rPr>
            <sz val="9"/>
            <color indexed="81"/>
            <rFont val="Tahoma"/>
            <family val="2"/>
          </rPr>
          <t xml:space="preserve">Stored pasture available to be eaten today
</t>
        </r>
      </text>
    </comment>
    <comment ref="AD13" authorId="1" shapeId="0">
      <text>
        <r>
          <rPr>
            <sz val="9"/>
            <color indexed="81"/>
            <rFont val="Tahoma"/>
            <family val="2"/>
          </rPr>
          <t xml:space="preserve">Total supplement required by all animals for this day
</t>
        </r>
      </text>
    </comment>
    <comment ref="J14" authorId="1" shapeId="0">
      <text>
        <r>
          <rPr>
            <sz val="9"/>
            <color indexed="81"/>
            <rFont val="Tahoma"/>
            <family val="2"/>
          </rPr>
          <t>Total feed for dry cows</t>
        </r>
      </text>
    </comment>
    <comment ref="K14" authorId="1" shapeId="0">
      <text>
        <r>
          <rPr>
            <sz val="9"/>
            <color indexed="81"/>
            <rFont val="Tahoma"/>
            <family val="2"/>
          </rPr>
          <t>Total supplement for dry cows</t>
        </r>
      </text>
    </comment>
    <comment ref="M14" authorId="1" shapeId="0">
      <text>
        <r>
          <rPr>
            <sz val="9"/>
            <color indexed="81"/>
            <rFont val="Tahoma"/>
            <family val="2"/>
          </rPr>
          <t>Total feed for springers cows</t>
        </r>
      </text>
    </comment>
    <comment ref="N14" authorId="1" shapeId="0">
      <text>
        <r>
          <rPr>
            <sz val="9"/>
            <color indexed="81"/>
            <rFont val="Tahoma"/>
            <family val="2"/>
          </rPr>
          <t>Total supplement for springers cows</t>
        </r>
      </text>
    </comment>
    <comment ref="P14" authorId="1" shapeId="0">
      <text>
        <r>
          <rPr>
            <sz val="9"/>
            <color indexed="81"/>
            <rFont val="Tahoma"/>
            <family val="2"/>
          </rPr>
          <t>Total feed for colostrums cows</t>
        </r>
      </text>
    </comment>
    <comment ref="Q14" authorId="1" shapeId="0">
      <text>
        <r>
          <rPr>
            <sz val="9"/>
            <color indexed="81"/>
            <rFont val="Tahoma"/>
            <family val="2"/>
          </rPr>
          <t>Total supplement for colostrum cows</t>
        </r>
      </text>
    </comment>
    <comment ref="S14" authorId="1" shapeId="0">
      <text>
        <r>
          <rPr>
            <sz val="9"/>
            <color indexed="81"/>
            <rFont val="Tahoma"/>
            <family val="2"/>
          </rPr>
          <t>Total feed for milking cows</t>
        </r>
      </text>
    </comment>
    <comment ref="T14" authorId="1" shapeId="0">
      <text>
        <r>
          <rPr>
            <sz val="9"/>
            <color indexed="81"/>
            <rFont val="Tahoma"/>
            <family val="2"/>
          </rPr>
          <t>Total supplement for milking cows</t>
        </r>
      </text>
    </comment>
  </commentList>
</comments>
</file>

<file path=xl/sharedStrings.xml><?xml version="1.0" encoding="utf-8"?>
<sst xmlns="http://schemas.openxmlformats.org/spreadsheetml/2006/main" count="211" uniqueCount="151">
  <si>
    <t>Cows Arriving Home</t>
  </si>
  <si>
    <t>Cows Calving</t>
  </si>
  <si>
    <t>Colostrum Cows</t>
  </si>
  <si>
    <t>Dry Cows</t>
  </si>
  <si>
    <t>Milkers</t>
  </si>
  <si>
    <t>Total</t>
  </si>
  <si>
    <t>KgDM/ha</t>
  </si>
  <si>
    <t>KgDM/ha/day</t>
  </si>
  <si>
    <t>Days</t>
  </si>
  <si>
    <t>KgDM/cow</t>
  </si>
  <si>
    <t>Ha</t>
  </si>
  <si>
    <t>Effective Area</t>
  </si>
  <si>
    <t>Creating the Budget</t>
  </si>
  <si>
    <t>Optimising the Budget</t>
  </si>
  <si>
    <t xml:space="preserve">Your Feed Budget will give you a plan for spring but spring rarely goes to plan! </t>
  </si>
  <si>
    <t>Maintaining the Budget - Important!!</t>
  </si>
  <si>
    <t>After making any changes to your budget it is important to check the Average Pasture Growth Graph to see how your budget has changed. You may need to optimise your budget again.</t>
  </si>
  <si>
    <t>It is important to keep this budget up to date to ensure you continue to allocate pasture efficiently and can deal with any suprises spring may throw at you.</t>
  </si>
  <si>
    <t xml:space="preserve">To do this it is recommended to regularly update: </t>
  </si>
  <si>
    <t>Calculate total supplementary feed required</t>
  </si>
  <si>
    <t>Date</t>
  </si>
  <si>
    <t>Instructions</t>
  </si>
  <si>
    <t xml:space="preserve">   Daily Feed Allocator</t>
  </si>
  <si>
    <t>1. Enter the date for the plan (dd/mm/yy)</t>
  </si>
  <si>
    <t>Colostrums</t>
  </si>
  <si>
    <t>Number of Animals</t>
  </si>
  <si>
    <t>Pre Grazing</t>
  </si>
  <si>
    <t>3. Enter the pre and post grazing targets for each herd</t>
  </si>
  <si>
    <t>Post Grazing</t>
  </si>
  <si>
    <t>KgDM/Cow</t>
  </si>
  <si>
    <t>Area/cow</t>
  </si>
  <si>
    <t>m2</t>
  </si>
  <si>
    <t>Area/herd</t>
  </si>
  <si>
    <t>Planned Supplement Intake</t>
  </si>
  <si>
    <t>Per Mob</t>
  </si>
  <si>
    <t>KgDM</t>
  </si>
  <si>
    <t>NOTE: These values do not include a wastage factor</t>
  </si>
  <si>
    <t>Maize</t>
  </si>
  <si>
    <t>Molasses</t>
  </si>
  <si>
    <t>Round Length</t>
  </si>
  <si>
    <t xml:space="preserve">   The total must match the Planned Supplement Intake Total</t>
  </si>
  <si>
    <t>General Farm Info</t>
  </si>
  <si>
    <t>Average Pasture Cover</t>
  </si>
  <si>
    <t>Planned Pasture Intake</t>
  </si>
  <si>
    <t>Balance Date</t>
  </si>
  <si>
    <t>Planned Start of Calving</t>
  </si>
  <si>
    <t>Spring Rotation Planner - Advanced</t>
  </si>
  <si>
    <t>It allows the user to:</t>
  </si>
  <si>
    <t xml:space="preserve">Adjust the plan and forecast the effects of unexpected events (weather that may cause pasture to grow faster or slower than expected) </t>
  </si>
  <si>
    <t>Keep the plan up to date by entering actual pasture data to track progress and make adjustments</t>
  </si>
  <si>
    <t>Fill in the key details of your farm in the box at the top of the plan. This data remains constant throughout spring</t>
  </si>
  <si>
    <t>Fill in the light green boxes relating to when cows are arriving on farm and how many cows are due to calve each day (this can be found on the 'Expected Calvings by Date' report in Minda)</t>
  </si>
  <si>
    <t>Farm Details</t>
  </si>
  <si>
    <t>Herd Size</t>
  </si>
  <si>
    <t>Also fill in the size of each mob at the Planned Start of Calving. Using all this information, the herd sizes can be predicted throughout spring.</t>
  </si>
  <si>
    <t>Feed Demand</t>
  </si>
  <si>
    <t>Total Supplement</t>
  </si>
  <si>
    <t>Help</t>
  </si>
  <si>
    <t>Supplement</t>
  </si>
  <si>
    <t>Daily Feed Requirements</t>
  </si>
  <si>
    <t>Avg. Pasture Cover</t>
  </si>
  <si>
    <t>Total Feed Demand</t>
  </si>
  <si>
    <t>Spring Rotation Planner Targets</t>
  </si>
  <si>
    <t>KgDM/day</t>
  </si>
  <si>
    <t>Actual Average Pasture Cover</t>
  </si>
  <si>
    <t>TonnesDM/day</t>
  </si>
  <si>
    <t>Feed Supply and Demand</t>
  </si>
  <si>
    <t>Total Feed</t>
  </si>
  <si>
    <t>Supplement Required to Balance Date</t>
  </si>
  <si>
    <t>Predicted Pasture Growth</t>
  </si>
  <si>
    <t>Tonnes DM (excluding wastage)</t>
  </si>
  <si>
    <t>Total Area Used =</t>
  </si>
  <si>
    <t>Spring Rotation Planner Target =</t>
  </si>
  <si>
    <t xml:space="preserve">In the light green boxes, fill in total intake and an estimate of supplement per cow for each mob.  </t>
  </si>
  <si>
    <t>Also fill in the estimated pasture growth rates for spring</t>
  </si>
  <si>
    <t>These Average Pasture Cover and Rotation Length Targets are based on the principles of the Spring Rotation Planner and are used (along with the pasture growth rates) to estimate the pasture supply throughout spring</t>
  </si>
  <si>
    <t>These columns are predictions of Total Feed Demand and Supply</t>
  </si>
  <si>
    <r>
      <rPr>
        <b/>
        <sz val="10"/>
        <color indexed="8"/>
        <rFont val="Arial"/>
        <family val="2"/>
      </rPr>
      <t>Total Feed Demand</t>
    </r>
    <r>
      <rPr>
        <sz val="10"/>
        <color indexed="8"/>
        <rFont val="Arial"/>
        <family val="2"/>
      </rPr>
      <t xml:space="preserve"> - The sum of Total Feed per cow (from step 3) times the size of each herd. All herds are added together to get this total</t>
    </r>
  </si>
  <si>
    <r>
      <rPr>
        <b/>
        <sz val="10"/>
        <color indexed="8"/>
        <rFont val="Arial"/>
        <family val="2"/>
      </rPr>
      <t>Pasture Supply</t>
    </r>
    <r>
      <rPr>
        <sz val="10"/>
        <color indexed="8"/>
        <rFont val="Arial"/>
        <family val="2"/>
      </rPr>
      <t xml:space="preserve"> - The sum of the pasture available from eating into saved winter pasture (as per the spring rotation planner target) and the pasture growth rate</t>
    </r>
  </si>
  <si>
    <r>
      <rPr>
        <b/>
        <sz val="10"/>
        <color indexed="8"/>
        <rFont val="Arial"/>
        <family val="2"/>
      </rPr>
      <t>Supplement Supply</t>
    </r>
    <r>
      <rPr>
        <sz val="10"/>
        <color indexed="8"/>
        <rFont val="Arial"/>
        <family val="2"/>
      </rPr>
      <t xml:space="preserve"> - The sum of Supplement fed per cow (from step 3) times the size of each herd. All herds are added together to get this total</t>
    </r>
  </si>
  <si>
    <t>This shows the total supplement required for spring up until balance date</t>
  </si>
  <si>
    <t>NOTE - These values do not account for any wastage</t>
  </si>
  <si>
    <t>Calculating Break Sizes - Using the Daily Planner</t>
  </si>
  <si>
    <t>Once you have determined the amount of pasture to offer per cow to each mob, use the Daily Planner (see tabs at the bottom of the screen) to calculate the pasture break size and the amount of supplement to feed each mob</t>
  </si>
  <si>
    <t>The Advanced Spring Rotation Planner estimates feed supply and demand to allocate feed in the spring period.</t>
  </si>
  <si>
    <t xml:space="preserve">It uses the principles of the Spring Rotation Planner but aims to achieve Average Pasture Cover targets rather than Round Length targets </t>
  </si>
  <si>
    <t>Create a feed budget and predict feed surpluses and deficits to help stick to Spring Rotation Planner Pasture Cover targets</t>
  </si>
  <si>
    <t xml:space="preserve">  1. Any of the data you entered in creating the budget (any box coloured light green)</t>
  </si>
  <si>
    <t xml:space="preserve">  2. Mob sizes - overwrite the calculated values with actual values to get accurate grazing plans (light blue boxes)</t>
  </si>
  <si>
    <t xml:space="preserve">  3. Enter your actual average pasture covers throughout spring. These will automatically be used rather than the estimated values in the budget.</t>
  </si>
  <si>
    <t>1. Good forecast of calving dates</t>
  </si>
  <si>
    <t>2. Confident forecast of pasture growth rates</t>
  </si>
  <si>
    <t>3. Regular assesment of Average Pasture Cover through spring</t>
  </si>
  <si>
    <r>
      <rPr>
        <b/>
        <sz val="10"/>
        <color indexed="10"/>
        <rFont val="Arial"/>
        <family val="2"/>
      </rPr>
      <t>Caution</t>
    </r>
    <r>
      <rPr>
        <b/>
        <sz val="10"/>
        <color indexed="8"/>
        <rFont val="Arial"/>
        <family val="2"/>
      </rPr>
      <t xml:space="preserve"> - The accuracy of this feed budget relies on: </t>
    </r>
  </si>
  <si>
    <t>New Pasture Supply</t>
  </si>
  <si>
    <t>Accumulated Area Used</t>
  </si>
  <si>
    <t>Explanations</t>
  </si>
  <si>
    <r>
      <rPr>
        <b/>
        <sz val="11"/>
        <color indexed="8"/>
        <rFont val="Calibri"/>
        <family val="2"/>
      </rPr>
      <t>Dry Cows</t>
    </r>
    <r>
      <rPr>
        <sz val="11"/>
        <color theme="1"/>
        <rFont val="Calibri"/>
        <family val="2"/>
        <scheme val="minor"/>
      </rPr>
      <t xml:space="preserve"> = Dry cow mob at start of calving + All cows that have arrived home beofre today - All cows that have calved since planeed start of calving</t>
    </r>
  </si>
  <si>
    <r>
      <rPr>
        <b/>
        <sz val="11"/>
        <color indexed="8"/>
        <rFont val="Calibri"/>
        <family val="2"/>
      </rPr>
      <t>Colostrum mob</t>
    </r>
    <r>
      <rPr>
        <sz val="11"/>
        <color theme="1"/>
        <rFont val="Calibri"/>
        <family val="2"/>
        <scheme val="minor"/>
      </rPr>
      <t xml:space="preserve"> = All cows that have calved in last four days</t>
    </r>
  </si>
  <si>
    <r>
      <rPr>
        <b/>
        <sz val="11"/>
        <color indexed="8"/>
        <rFont val="Calibri"/>
        <family val="2"/>
      </rPr>
      <t>Milkers</t>
    </r>
    <r>
      <rPr>
        <sz val="11"/>
        <color theme="1"/>
        <rFont val="Calibri"/>
        <family val="2"/>
        <scheme val="minor"/>
      </rPr>
      <t xml:space="preserve"> = Yesterdays milkers + Calved cows from four days ago (assumed to have just left the colostrums)</t>
    </r>
  </si>
  <si>
    <r>
      <rPr>
        <b/>
        <sz val="11"/>
        <color indexed="8"/>
        <rFont val="Calibri"/>
        <family val="2"/>
      </rPr>
      <t xml:space="preserve">New Pasture Supply </t>
    </r>
    <r>
      <rPr>
        <sz val="11"/>
        <color theme="1"/>
        <rFont val="Calibri"/>
        <family val="2"/>
        <scheme val="minor"/>
      </rPr>
      <t>= (Pasture growth rate + target reduction in average pasture cover) x effective farm area</t>
    </r>
  </si>
  <si>
    <r>
      <rPr>
        <b/>
        <sz val="11"/>
        <color indexed="8"/>
        <rFont val="Calibri"/>
        <family val="2"/>
      </rPr>
      <t>Total Supplement</t>
    </r>
    <r>
      <rPr>
        <sz val="11"/>
        <color theme="1"/>
        <rFont val="Calibri"/>
        <family val="2"/>
        <scheme val="minor"/>
      </rPr>
      <t xml:space="preserve"> = Sum of all Supplement supply</t>
    </r>
  </si>
  <si>
    <r>
      <rPr>
        <b/>
        <sz val="11"/>
        <color indexed="8"/>
        <rFont val="Calibri"/>
        <family val="2"/>
      </rPr>
      <t>Target APC</t>
    </r>
    <r>
      <rPr>
        <sz val="11"/>
        <color theme="1"/>
        <rFont val="Calibri"/>
        <family val="2"/>
        <scheme val="minor"/>
      </rPr>
      <t xml:space="preserve"> and </t>
    </r>
    <r>
      <rPr>
        <b/>
        <sz val="11"/>
        <color indexed="8"/>
        <rFont val="Calibri"/>
        <family val="2"/>
      </rPr>
      <t>Round Length</t>
    </r>
    <r>
      <rPr>
        <sz val="11"/>
        <color theme="1"/>
        <rFont val="Calibri"/>
        <family val="2"/>
        <scheme val="minor"/>
      </rPr>
      <t xml:space="preserve"> are calculated using the farm data at the top of screen</t>
    </r>
  </si>
  <si>
    <t>Mob Sizes</t>
  </si>
  <si>
    <r>
      <rPr>
        <b/>
        <sz val="11"/>
        <color indexed="8"/>
        <rFont val="Calibri"/>
        <family val="2"/>
      </rPr>
      <t xml:space="preserve">Target Reduction in average pasture cover </t>
    </r>
    <r>
      <rPr>
        <sz val="11"/>
        <color theme="1"/>
        <rFont val="Calibri"/>
        <family val="2"/>
        <scheme val="minor"/>
      </rPr>
      <t xml:space="preserve">= Todays target pasture cover - tomorrows target pasture cover        </t>
    </r>
    <r>
      <rPr>
        <i/>
        <sz val="11"/>
        <color indexed="8"/>
        <rFont val="Calibri"/>
        <family val="2"/>
      </rPr>
      <t xml:space="preserve">  Note - if an actual pasture cover exists then this is used instead of todays target pasture cover</t>
    </r>
  </si>
  <si>
    <r>
      <rPr>
        <b/>
        <sz val="11"/>
        <color indexed="8"/>
        <rFont val="Calibri"/>
        <family val="2"/>
      </rPr>
      <t>Total Feed Demand</t>
    </r>
    <r>
      <rPr>
        <sz val="11"/>
        <color theme="1"/>
        <rFont val="Calibri"/>
        <family val="2"/>
        <scheme val="minor"/>
      </rPr>
      <t xml:space="preserve"> = sum of (herd size x their total feed per cow)</t>
    </r>
  </si>
  <si>
    <r>
      <rPr>
        <b/>
        <sz val="11"/>
        <color indexed="8"/>
        <rFont val="Calibri"/>
        <family val="2"/>
      </rPr>
      <t>Supplement Supply</t>
    </r>
    <r>
      <rPr>
        <sz val="11"/>
        <color theme="1"/>
        <rFont val="Calibri"/>
        <family val="2"/>
        <scheme val="minor"/>
      </rPr>
      <t xml:space="preserve"> = sum of (herd size x their supplement feed per cow)</t>
    </r>
  </si>
  <si>
    <r>
      <rPr>
        <b/>
        <sz val="11"/>
        <color indexed="8"/>
        <rFont val="Calibri"/>
        <family val="2"/>
      </rPr>
      <t>Overall Surplus</t>
    </r>
    <r>
      <rPr>
        <sz val="11"/>
        <color theme="1"/>
        <rFont val="Calibri"/>
        <family val="2"/>
        <scheme val="minor"/>
      </rPr>
      <t xml:space="preserve"> = New pasture supply + supplement supply + yesterdays feed surplus - total feed demand</t>
    </r>
  </si>
  <si>
    <t>Predicted Average Pasture Cover</t>
  </si>
  <si>
    <t>Pasture Surplus</t>
  </si>
  <si>
    <r>
      <rPr>
        <b/>
        <sz val="10"/>
        <color indexed="8"/>
        <rFont val="Arial"/>
        <family val="2"/>
      </rPr>
      <t>Pasture Surplus</t>
    </r>
    <r>
      <rPr>
        <sz val="10"/>
        <color indexed="8"/>
        <rFont val="Arial"/>
        <family val="2"/>
      </rPr>
      <t xml:space="preserve"> - The difference between the Predicted Pasture Cover and Target Pasture Cover is a pasture surplus (or deficit). </t>
    </r>
  </si>
  <si>
    <r>
      <rPr>
        <b/>
        <sz val="10"/>
        <color indexed="8"/>
        <rFont val="Arial"/>
        <family val="2"/>
      </rPr>
      <t xml:space="preserve">Predicted APC </t>
    </r>
    <r>
      <rPr>
        <sz val="10"/>
        <color indexed="8"/>
        <rFont val="Arial"/>
        <family val="2"/>
      </rPr>
      <t>- What your Average Pasture Cover is likely to be based on your feed supply and demand. For example if feed supply exceeds demand then the Predicted Pasture Cover will rise relative to Target Pasture Cover.  Both the Target and Predicted Average Pasture Covers are illustrated on the Graphs tab. If an Actual Pasture Cover exists for this date then it will be used rather than the predicted value.</t>
    </r>
  </si>
  <si>
    <t>Springers</t>
  </si>
  <si>
    <t>Cows Off Farm</t>
  </si>
  <si>
    <t>Total Cows</t>
  </si>
  <si>
    <t>2. Make sure the herd sizes are up to date on the main Spring Feed Budget</t>
  </si>
  <si>
    <t>4. This is for information purposes only and should not be used to adjust feeding</t>
  </si>
  <si>
    <t xml:space="preserve">5. Enter each supplement fed along with allocation to each herd. </t>
  </si>
  <si>
    <t>HELP</t>
  </si>
  <si>
    <t>Actual round length</t>
  </si>
  <si>
    <t>Accumulated area</t>
  </si>
  <si>
    <t>Day</t>
  </si>
  <si>
    <t>On This Day</t>
  </si>
  <si>
    <t>Mob Size at Start of This Day</t>
  </si>
  <si>
    <t>In the graphs tab there is a graph showing 
Average Pasture Covers.</t>
  </si>
  <si>
    <t>The green line is the predicted average pasture 
cover according to your pasture growth forecasts 
and feeding plan</t>
  </si>
  <si>
    <t>To create an optimal feed budget, adjust the feeding 
plan with the aim of making the green line match the 
blue line as much as possible.</t>
  </si>
  <si>
    <t>Throughout spring as you update the budget you 
will need to repeat this exerecise to keep the feed 
budget up to date.</t>
  </si>
  <si>
    <r>
      <rPr>
        <b/>
        <i/>
        <sz val="10"/>
        <color indexed="8"/>
        <rFont val="Arial"/>
        <family val="2"/>
      </rPr>
      <t xml:space="preserve">Note </t>
    </r>
    <r>
      <rPr>
        <i/>
        <sz val="10"/>
        <color indexed="8"/>
        <rFont val="Arial"/>
        <family val="2"/>
      </rPr>
      <t>- The red line is your actual average pasture 
cover that you record during spring. If your plan 
is successful this line should also match the blue 
line.</t>
    </r>
  </si>
  <si>
    <t>Supplement Required</t>
  </si>
  <si>
    <t xml:space="preserve"> Targets</t>
  </si>
  <si>
    <t>The blue line is the target average pasture cover.</t>
  </si>
  <si>
    <t>Dry cow becomes springer</t>
  </si>
  <si>
    <t>days before calving</t>
  </si>
  <si>
    <t>Actual Per Cow</t>
  </si>
  <si>
    <t>Barley</t>
  </si>
  <si>
    <t>Straw</t>
  </si>
  <si>
    <t>Hay</t>
  </si>
  <si>
    <t>Total per cow</t>
  </si>
  <si>
    <t>t DM Supplement on hand</t>
  </si>
  <si>
    <t>Add 10% for contingency</t>
  </si>
  <si>
    <t>t DM balance</t>
  </si>
  <si>
    <t>cows arriving home</t>
  </si>
  <si>
    <t>Area/day</t>
  </si>
  <si>
    <t>Accumulated Area</t>
  </si>
  <si>
    <t>cows yet to calve</t>
  </si>
  <si>
    <t xml:space="preserve">cows calved before start </t>
  </si>
  <si>
    <t xml:space="preserve">cows unallocated (should be zero) </t>
  </si>
  <si>
    <t>(Input data into green cells)</t>
  </si>
  <si>
    <t xml:space="preserve">Disclaimer:
DairyNZ Limited  endeavours to ensure that the information in this spreadsheet is accurate and current. However, we do not accept liability for any error or omission. The information that appears in this spreadsheet is intended to provide the best possible dairy farm management practices, systems and advice that DairyNZ has access to. It may be subject to change at any time, without notice. DairyNZ Limited takes no responsibility whatsoever for the currency and/or accuracy of this information, its completeness or fitness for purpose.
</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</si>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</sst>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0" formatCode="0.0"/>
    <numFmt numFmtId="171" formatCode="[$-F800]dddd\,\ mmmm\ dd\,\ yyyy"/>
    <numFmt numFmtId="176" formatCode="[$-1409]d\ mmmm\ yyyy;@"/>
    <numFmt numFmtId="179" formatCode="#,##0;&quot;0&quot;"/>
    <numFmt numFmtId="180" formatCode="#,##0.0;&quot;0&quot;"/>
  </numFmts>
  <fonts count="64" x14ac:knownFonts="1">
    <font>
      <sz val="11"/>
      <color theme="1"/>
      <name val="Calibri"/>
      <family val="2"/>
      <scheme val="minor"/>
    </font>
    <font>
      <b/>
      <sz val="9"/>
      <name val="Arial"/>
      <family val="2"/>
    </font>
    <font>
      <sz val="10"/>
      <name val="MS Sans Serif"/>
      <family val="2"/>
    </font>
    <font>
      <b/>
      <sz val="10"/>
      <name val="Arial"/>
      <family val="2"/>
    </font>
    <font>
      <b/>
      <sz val="8"/>
      <name val="Arial"/>
      <family val="2"/>
    </font>
    <font>
      <sz val="9"/>
      <name val="Arial"/>
      <family val="2"/>
    </font>
    <font>
      <sz val="8"/>
      <name val="Arial"/>
      <family val="2"/>
    </font>
    <font>
      <sz val="15"/>
      <name val="Arial"/>
      <family val="2"/>
    </font>
    <font>
      <sz val="9"/>
      <color indexed="81"/>
      <name val="Tahoma"/>
      <family val="2"/>
    </font>
    <font>
      <b/>
      <sz val="10"/>
      <color indexed="8"/>
      <name val="Arial"/>
      <family val="2"/>
    </font>
    <font>
      <b/>
      <sz val="12"/>
      <name val="Arial"/>
      <family val="2"/>
    </font>
    <font>
      <sz val="10"/>
      <color indexed="8"/>
      <name val="Arial"/>
      <family val="2"/>
    </font>
    <font>
      <b/>
      <sz val="10"/>
      <color indexed="8"/>
      <name val="Arial"/>
      <family val="2"/>
    </font>
    <font>
      <b/>
      <sz val="11"/>
      <color indexed="8"/>
      <name val="Calibri"/>
      <family val="2"/>
    </font>
    <font>
      <b/>
      <sz val="10"/>
      <color indexed="8"/>
      <name val="Arial"/>
      <family val="2"/>
    </font>
    <font>
      <b/>
      <sz val="10"/>
      <color indexed="10"/>
      <name val="Arial"/>
      <family val="2"/>
    </font>
    <font>
      <i/>
      <sz val="11"/>
      <color indexed="8"/>
      <name val="Calibri"/>
      <family val="2"/>
    </font>
    <font>
      <sz val="10"/>
      <color indexed="8"/>
      <name val="Arial"/>
      <family val="2"/>
    </font>
    <font>
      <b/>
      <sz val="10"/>
      <color indexed="8"/>
      <name val="Arial"/>
      <family val="2"/>
    </font>
    <font>
      <b/>
      <i/>
      <sz val="10"/>
      <color indexed="8"/>
      <name val="Arial"/>
      <family val="2"/>
    </font>
    <font>
      <i/>
      <sz val="10"/>
      <color indexed="8"/>
      <name val="Arial"/>
      <family val="2"/>
    </font>
    <font>
      <sz val="10"/>
      <name val="Arial"/>
      <family val="2"/>
    </font>
    <font>
      <sz val="9"/>
      <color indexed="81"/>
      <name val="Tahoma"/>
      <family val="2"/>
    </font>
    <font>
      <u/>
      <sz val="11"/>
      <color theme="10"/>
      <name val="Calibri"/>
      <family val="2"/>
      <scheme val="minor"/>
    </font>
    <font>
      <b/>
      <sz val="11"/>
      <color theme="1"/>
      <name val="Calibri"/>
      <family val="2"/>
      <scheme val="minor"/>
    </font>
    <font>
      <sz val="10"/>
      <color theme="1"/>
      <name val="Arial"/>
      <family val="2"/>
    </font>
    <font>
      <sz val="11"/>
      <color theme="1"/>
      <name val="Arial"/>
      <family val="2"/>
    </font>
    <font>
      <b/>
      <sz val="15"/>
      <color theme="1"/>
      <name val="Arial"/>
      <family val="2"/>
    </font>
    <font>
      <b/>
      <sz val="10"/>
      <color theme="1"/>
      <name val="Arial"/>
      <family val="2"/>
    </font>
    <font>
      <b/>
      <sz val="12"/>
      <color rgb="FF7BC143"/>
      <name val="Arial"/>
      <family val="2"/>
    </font>
    <font>
      <sz val="25"/>
      <color theme="0"/>
      <name val="Arial"/>
      <family val="2"/>
    </font>
    <font>
      <sz val="9"/>
      <color theme="1"/>
      <name val="Arial"/>
      <family val="2"/>
    </font>
    <font>
      <sz val="8"/>
      <color theme="1"/>
      <name val="Arial"/>
      <family val="2"/>
    </font>
    <font>
      <sz val="11"/>
      <color theme="0"/>
      <name val="Arial"/>
      <family val="2"/>
    </font>
    <font>
      <sz val="8"/>
      <color theme="0"/>
      <name val="Arial"/>
      <family val="2"/>
    </font>
    <font>
      <sz val="9"/>
      <color theme="0"/>
      <name val="Arial"/>
      <family val="2"/>
    </font>
    <font>
      <b/>
      <sz val="25"/>
      <color theme="0" tint="-4.9989318521683403E-2"/>
      <name val="Arial"/>
      <family val="2"/>
    </font>
    <font>
      <b/>
      <sz val="9"/>
      <color theme="0" tint="-4.9989318521683403E-2"/>
      <name val="Arial"/>
      <family val="2"/>
    </font>
    <font>
      <b/>
      <sz val="11"/>
      <color theme="1"/>
      <name val="Arial"/>
      <family val="2"/>
    </font>
    <font>
      <b/>
      <sz val="9"/>
      <color theme="1"/>
      <name val="Arial"/>
      <family val="2"/>
    </font>
    <font>
      <b/>
      <sz val="12"/>
      <color theme="2"/>
      <name val="Arial"/>
      <family val="2"/>
    </font>
    <font>
      <sz val="11"/>
      <color theme="2"/>
      <name val="Arial"/>
      <family val="2"/>
    </font>
    <font>
      <sz val="8"/>
      <color theme="2"/>
      <name val="Arial"/>
      <family val="2"/>
    </font>
    <font>
      <b/>
      <sz val="8"/>
      <color theme="1"/>
      <name val="Arial"/>
      <family val="2"/>
    </font>
    <font>
      <sz val="10"/>
      <color theme="2"/>
      <name val="Arial"/>
      <family val="2"/>
    </font>
    <font>
      <b/>
      <sz val="12"/>
      <color theme="1"/>
      <name val="Arial"/>
      <family val="2"/>
    </font>
    <font>
      <i/>
      <sz val="8"/>
      <color theme="1"/>
      <name val="Arial"/>
      <family val="2"/>
    </font>
    <font>
      <b/>
      <sz val="10"/>
      <color theme="9"/>
      <name val="Arial"/>
      <family val="2"/>
    </font>
    <font>
      <b/>
      <sz val="25"/>
      <color rgb="FFFF0000"/>
      <name val="Arial"/>
      <family val="2"/>
    </font>
    <font>
      <b/>
      <sz val="12"/>
      <color theme="0"/>
      <name val="Calibri"/>
      <family val="2"/>
      <scheme val="minor"/>
    </font>
    <font>
      <sz val="8"/>
      <color theme="2" tint="-0.249977111117893"/>
      <name val="Arial"/>
      <family val="2"/>
    </font>
    <font>
      <sz val="10"/>
      <color rgb="FFFF0000"/>
      <name val="Arial"/>
      <family val="2"/>
    </font>
    <font>
      <b/>
      <i/>
      <sz val="26"/>
      <color theme="0" tint="-4.9989318521683403E-2"/>
      <name val="Arial"/>
      <family val="2"/>
    </font>
    <font>
      <sz val="25"/>
      <color theme="0" tint="-4.9989318521683403E-2"/>
      <name val="Arial"/>
      <family val="2"/>
    </font>
    <font>
      <i/>
      <sz val="25"/>
      <color rgb="FFFF0000"/>
      <name val="Arial"/>
      <family val="2"/>
    </font>
    <font>
      <sz val="9"/>
      <color theme="0" tint="-4.9989318521683403E-2"/>
      <name val="Arial"/>
      <family val="2"/>
    </font>
    <font>
      <i/>
      <sz val="14"/>
      <color theme="0"/>
      <name val="Arial"/>
      <family val="2"/>
    </font>
    <font>
      <b/>
      <i/>
      <sz val="26"/>
      <color theme="0"/>
      <name val="Arial"/>
      <family val="2"/>
    </font>
    <font>
      <sz val="8.5"/>
      <color theme="0"/>
      <name val="Calibri"/>
      <family val="2"/>
      <scheme val="minor"/>
    </font>
    <font>
      <b/>
      <sz val="8.5"/>
      <color theme="0"/>
      <name val="Arial"/>
      <family val="2"/>
    </font>
    <font>
      <b/>
      <i/>
      <sz val="15"/>
      <color theme="1"/>
      <name val="Arial"/>
      <family val="2"/>
    </font>
    <font>
      <b/>
      <sz val="8"/>
      <color rgb="FFFF0000"/>
      <name val="Arial"/>
      <family val="2"/>
    </font>
    <font>
      <i/>
      <sz val="10"/>
      <color theme="1"/>
      <name val="Arial"/>
      <family val="2"/>
    </font>
    <font>
      <b/>
      <i/>
      <sz val="26"/>
      <color theme="2"/>
      <name val="Arial"/>
      <family val="2"/>
    </font>
  </fonts>
  <fills count="1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FE1A3"/>
        <bgColor indexed="64"/>
      </patternFill>
    </fill>
    <fill>
      <patternFill patternType="solid">
        <fgColor rgb="FF7BC143"/>
        <bgColor indexed="64"/>
      </patternFill>
    </fill>
    <fill>
      <patternFill patternType="mediumGray">
        <fgColor theme="0"/>
        <bgColor theme="0"/>
      </patternFill>
    </fill>
    <fill>
      <patternFill patternType="mediumGray">
        <fgColor rgb="FFBFE1A3"/>
        <bgColor theme="0"/>
      </patternFill>
    </fill>
    <fill>
      <patternFill patternType="mediumGray">
        <fgColor rgb="FFBFE1A3"/>
        <bgColor theme="2"/>
      </patternFill>
    </fill>
    <fill>
      <patternFill patternType="mediumGray">
        <fgColor theme="0"/>
        <bgColor rgb="FFBFE1A3"/>
      </patternFill>
    </fill>
    <fill>
      <patternFill patternType="solid">
        <fgColor theme="2"/>
        <bgColor indexed="64"/>
      </patternFill>
    </fill>
    <fill>
      <patternFill patternType="solid">
        <fgColor theme="2" tint="-9.9978637043366805E-2"/>
        <bgColor indexed="64"/>
      </patternFill>
    </fill>
    <fill>
      <patternFill patternType="solid">
        <fgColor rgb="FF444D3E"/>
        <bgColor indexed="64"/>
      </patternFill>
    </fill>
  </fills>
  <borders count="104">
    <border>
      <left/>
      <right/>
      <top/>
      <bottom/>
      <diagonal/>
    </border>
    <border>
      <left/>
      <right style="thick">
        <color indexed="64"/>
      </right>
      <top/>
      <bottom/>
      <diagonal/>
    </border>
    <border>
      <left style="thick">
        <color indexed="64"/>
      </left>
      <right style="thin">
        <color indexed="64"/>
      </right>
      <top style="thin">
        <color indexed="64"/>
      </top>
      <bottom style="hair">
        <color indexed="64"/>
      </bottom>
      <diagonal/>
    </border>
    <border>
      <left style="thick">
        <color indexed="64"/>
      </left>
      <right style="thin">
        <color indexed="64"/>
      </right>
      <top style="hair">
        <color indexed="64"/>
      </top>
      <bottom style="hair">
        <color indexed="64"/>
      </bottom>
      <diagonal/>
    </border>
    <border>
      <left style="thick">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ck">
        <color indexed="64"/>
      </right>
      <top style="thin">
        <color indexed="64"/>
      </top>
      <bottom style="hair">
        <color indexed="64"/>
      </bottom>
      <diagonal/>
    </border>
    <border>
      <left style="thin">
        <color indexed="64"/>
      </left>
      <right style="thick">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ck">
        <color indexed="64"/>
      </left>
      <right style="thin">
        <color indexed="64"/>
      </right>
      <top style="hair">
        <color indexed="64"/>
      </top>
      <bottom style="thick">
        <color indexed="64"/>
      </bottom>
      <diagonal/>
    </border>
    <border>
      <left style="thin">
        <color indexed="64"/>
      </left>
      <right/>
      <top style="hair">
        <color indexed="64"/>
      </top>
      <bottom style="thick">
        <color indexed="64"/>
      </bottom>
      <diagonal/>
    </border>
    <border>
      <left style="thin">
        <color indexed="64"/>
      </left>
      <right style="thick">
        <color indexed="64"/>
      </right>
      <top style="hair">
        <color indexed="64"/>
      </top>
      <bottom style="thick">
        <color indexed="64"/>
      </bottom>
      <diagonal/>
    </border>
    <border>
      <left/>
      <right/>
      <top style="hair">
        <color indexed="64"/>
      </top>
      <bottom style="thick">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ck">
        <color indexed="64"/>
      </right>
      <top style="thick">
        <color indexed="64"/>
      </top>
      <bottom style="thick">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n">
        <color indexed="64"/>
      </left>
      <right/>
      <top/>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right style="thin">
        <color indexed="64"/>
      </right>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bottom style="hair">
        <color indexed="64"/>
      </bottom>
      <diagonal/>
    </border>
    <border>
      <left style="thick">
        <color indexed="64"/>
      </left>
      <right style="thin">
        <color indexed="64"/>
      </right>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ck">
        <color indexed="64"/>
      </left>
      <right style="thin">
        <color indexed="64"/>
      </right>
      <top style="hair">
        <color indexed="64"/>
      </top>
      <bottom/>
      <diagonal/>
    </border>
    <border>
      <left/>
      <right style="thin">
        <color indexed="64"/>
      </right>
      <top style="hair">
        <color indexed="64"/>
      </top>
      <bottom style="thick">
        <color indexed="64"/>
      </bottom>
      <diagonal/>
    </border>
    <border>
      <left style="thin">
        <color indexed="64"/>
      </left>
      <right style="thin">
        <color indexed="64"/>
      </right>
      <top style="hair">
        <color indexed="64"/>
      </top>
      <bottom style="thick">
        <color indexed="64"/>
      </bottom>
      <diagonal/>
    </border>
    <border>
      <left/>
      <right/>
      <top style="thick">
        <color indexed="64"/>
      </top>
      <bottom/>
      <diagonal/>
    </border>
    <border>
      <left style="thick">
        <color indexed="64"/>
      </left>
      <right style="thin">
        <color indexed="64"/>
      </right>
      <top style="thin">
        <color indexed="64"/>
      </top>
      <bottom style="thick">
        <color indexed="64"/>
      </bottom>
      <diagonal/>
    </border>
    <border>
      <left style="thin">
        <color indexed="64"/>
      </left>
      <right/>
      <top style="hair">
        <color indexed="64"/>
      </top>
      <bottom style="thin">
        <color indexed="64"/>
      </bottom>
      <diagonal/>
    </border>
    <border>
      <left style="thin">
        <color indexed="64"/>
      </left>
      <right/>
      <top style="thin">
        <color indexed="64"/>
      </top>
      <bottom style="thick">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ck">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ck">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ck">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style="medium">
        <color indexed="64"/>
      </left>
      <right/>
      <top style="thin">
        <color indexed="64"/>
      </top>
      <bottom/>
      <diagonal/>
    </border>
    <border>
      <left style="thin">
        <color indexed="64"/>
      </left>
      <right style="thin">
        <color indexed="64"/>
      </right>
      <top style="thick">
        <color indexed="64"/>
      </top>
      <bottom/>
      <diagonal/>
    </border>
    <border>
      <left style="thick">
        <color indexed="64"/>
      </left>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n">
        <color indexed="64"/>
      </right>
      <top style="thick">
        <color indexed="64"/>
      </top>
      <bottom/>
      <diagonal/>
    </border>
    <border>
      <left style="thin">
        <color indexed="64"/>
      </left>
      <right style="thick">
        <color indexed="64"/>
      </right>
      <top style="thick">
        <color indexed="64"/>
      </top>
      <bottom/>
      <diagonal/>
    </border>
    <border>
      <left/>
      <right style="thick">
        <color rgb="FFFF0000"/>
      </right>
      <top/>
      <bottom/>
      <diagonal/>
    </border>
    <border>
      <left style="medium">
        <color rgb="FF7BC143"/>
      </left>
      <right style="medium">
        <color rgb="FF7BC143"/>
      </right>
      <top/>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right/>
      <top/>
      <bottom style="thick">
        <color rgb="FFFF0000"/>
      </bottom>
      <diagonal/>
    </border>
    <border>
      <left/>
      <right style="thick">
        <color rgb="FFFF0000"/>
      </right>
      <top/>
      <bottom style="thick">
        <color rgb="FFFF0000"/>
      </bottom>
      <diagonal/>
    </border>
    <border>
      <left style="thick">
        <color rgb="FFFF0000"/>
      </left>
      <right/>
      <top/>
      <bottom/>
      <diagonal/>
    </border>
    <border>
      <left style="thick">
        <color rgb="FFFF0000"/>
      </left>
      <right/>
      <top/>
      <bottom style="thick">
        <color rgb="FFFF0000"/>
      </bottom>
      <diagonal/>
    </border>
    <border>
      <left style="medium">
        <color rgb="FF7BC143"/>
      </left>
      <right/>
      <top/>
      <bottom/>
      <diagonal/>
    </border>
    <border>
      <left/>
      <right style="medium">
        <color rgb="FF7BC143"/>
      </right>
      <top/>
      <bottom/>
      <diagonal/>
    </border>
    <border>
      <left/>
      <right style="medium">
        <color rgb="FF7BC143"/>
      </right>
      <top style="medium">
        <color rgb="FF7BC143"/>
      </top>
      <bottom style="medium">
        <color rgb="FF7BC143"/>
      </bottom>
      <diagonal/>
    </border>
    <border>
      <left/>
      <right/>
      <top style="medium">
        <color rgb="FF7BC143"/>
      </top>
      <bottom style="medium">
        <color rgb="FF7BC143"/>
      </bottom>
      <diagonal/>
    </border>
    <border>
      <left style="medium">
        <color rgb="FF7BC143"/>
      </left>
      <right style="medium">
        <color rgb="FF7BC143"/>
      </right>
      <top style="medium">
        <color rgb="FF7BC143"/>
      </top>
      <bottom style="medium">
        <color theme="6"/>
      </bottom>
      <diagonal/>
    </border>
    <border>
      <left style="medium">
        <color rgb="FF7BC143"/>
      </left>
      <right style="medium">
        <color rgb="FF7BC143"/>
      </right>
      <top/>
      <bottom style="medium">
        <color theme="6"/>
      </bottom>
      <diagonal/>
    </border>
    <border>
      <left/>
      <right style="medium">
        <color rgb="FF7BC143"/>
      </right>
      <top/>
      <bottom style="double">
        <color theme="6"/>
      </bottom>
      <diagonal/>
    </border>
    <border>
      <left style="medium">
        <color rgb="FF7BC143"/>
      </left>
      <right style="medium">
        <color rgb="FF7BC143"/>
      </right>
      <top style="medium">
        <color rgb="FF7BC143"/>
      </top>
      <bottom/>
      <diagonal/>
    </border>
    <border>
      <left style="medium">
        <color rgb="FF7BC143"/>
      </left>
      <right style="medium">
        <color rgb="FF7BC143"/>
      </right>
      <top/>
      <bottom style="double">
        <color theme="6"/>
      </bottom>
      <diagonal/>
    </border>
    <border>
      <left style="medium">
        <color rgb="FF7BC143"/>
      </left>
      <right/>
      <top/>
      <bottom style="double">
        <color theme="6"/>
      </bottom>
      <diagonal/>
    </border>
    <border>
      <left style="medium">
        <color rgb="FF7BC143"/>
      </left>
      <right/>
      <top style="medium">
        <color rgb="FF7BC143"/>
      </top>
      <bottom style="medium">
        <color theme="6"/>
      </bottom>
      <diagonal/>
    </border>
    <border>
      <left/>
      <right style="medium">
        <color rgb="FF7BC143"/>
      </right>
      <top style="medium">
        <color rgb="FF7BC143"/>
      </top>
      <bottom style="medium">
        <color theme="6"/>
      </bottom>
      <diagonal/>
    </border>
    <border>
      <left style="medium">
        <color rgb="FF7BC143"/>
      </left>
      <right/>
      <top/>
      <bottom style="medium">
        <color theme="6"/>
      </bottom>
      <diagonal/>
    </border>
    <border>
      <left/>
      <right style="medium">
        <color rgb="FF7BC143"/>
      </right>
      <top/>
      <bottom style="medium">
        <color theme="6"/>
      </bottom>
      <diagonal/>
    </border>
    <border>
      <left style="medium">
        <color rgb="FF7BC143"/>
      </left>
      <right/>
      <top/>
      <bottom style="medium">
        <color rgb="FF7BC143"/>
      </bottom>
      <diagonal/>
    </border>
    <border>
      <left/>
      <right/>
      <top/>
      <bottom style="medium">
        <color rgb="FF7BC143"/>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
    <xf numFmtId="0" fontId="0" fillId="0" borderId="0"/>
    <xf numFmtId="0" fontId="23" fillId="0" borderId="0" applyNumberFormat="0" applyFill="0" applyBorder="0" applyAlignment="0" applyProtection="0"/>
    <xf numFmtId="0" fontId="2" fillId="0" borderId="0"/>
  </cellStyleXfs>
  <cellXfs count="419">
    <xf numFmtId="0" fontId="0" fillId="0" borderId="0" xfId="0"/>
    <xf numFmtId="0" fontId="25" fillId="0" borderId="0" xfId="0" applyFont="1"/>
    <xf numFmtId="0" fontId="26" fillId="3" borderId="0" xfId="0" applyFont="1" applyFill="1"/>
    <xf numFmtId="0" fontId="26" fillId="2" borderId="0" xfId="0" applyFont="1" applyFill="1"/>
    <xf numFmtId="0" fontId="26" fillId="2" borderId="0" xfId="0" applyNumberFormat="1" applyFont="1" applyFill="1"/>
    <xf numFmtId="0" fontId="27" fillId="3" borderId="0" xfId="0" applyFont="1" applyFill="1"/>
    <xf numFmtId="0" fontId="25" fillId="3" borderId="0" xfId="0" applyFont="1" applyFill="1"/>
    <xf numFmtId="0" fontId="28" fillId="4" borderId="0" xfId="0" applyFont="1" applyFill="1"/>
    <xf numFmtId="0" fontId="25" fillId="0" borderId="0" xfId="0" applyFont="1" applyAlignment="1">
      <alignment vertical="top"/>
    </xf>
    <xf numFmtId="0" fontId="28" fillId="4" borderId="0" xfId="0" applyFont="1" applyFill="1" applyAlignment="1">
      <alignment vertical="top"/>
    </xf>
    <xf numFmtId="0" fontId="25" fillId="4" borderId="0" xfId="0" applyFont="1" applyFill="1" applyAlignment="1">
      <alignment vertical="top"/>
    </xf>
    <xf numFmtId="0" fontId="25" fillId="0" borderId="0" xfId="0" applyFont="1" applyAlignment="1">
      <alignment horizontal="left" vertical="top"/>
    </xf>
    <xf numFmtId="0" fontId="25" fillId="0" borderId="0" xfId="0" applyFont="1" applyAlignment="1">
      <alignment horizontal="left"/>
    </xf>
    <xf numFmtId="0" fontId="25" fillId="3" borderId="0" xfId="0" applyFont="1" applyFill="1" applyAlignment="1">
      <alignment horizontal="left" indent="3"/>
    </xf>
    <xf numFmtId="0" fontId="28" fillId="3" borderId="0" xfId="0" applyFont="1" applyFill="1" applyAlignment="1">
      <alignment vertical="top"/>
    </xf>
    <xf numFmtId="0" fontId="25" fillId="3" borderId="0" xfId="0" applyFont="1" applyFill="1" applyAlignment="1">
      <alignment horizontal="left" vertical="top" indent="3"/>
    </xf>
    <xf numFmtId="0" fontId="28" fillId="4" borderId="0" xfId="0" applyFont="1" applyFill="1" applyAlignment="1">
      <alignment horizontal="left" vertical="top" indent="3"/>
    </xf>
    <xf numFmtId="0" fontId="25" fillId="0" borderId="0" xfId="0" applyFont="1" applyFill="1" applyAlignment="1">
      <alignment vertical="top"/>
    </xf>
    <xf numFmtId="0" fontId="28" fillId="0" borderId="0" xfId="0" applyFont="1" applyFill="1" applyAlignment="1">
      <alignment vertical="top"/>
    </xf>
    <xf numFmtId="0" fontId="25" fillId="0" borderId="0" xfId="0" applyFont="1" applyAlignment="1">
      <alignment horizontal="left" indent="2"/>
    </xf>
    <xf numFmtId="0" fontId="25" fillId="4" borderId="0" xfId="0" applyFont="1" applyFill="1" applyAlignment="1">
      <alignment horizontal="left" vertical="top"/>
    </xf>
    <xf numFmtId="0" fontId="23" fillId="4" borderId="0" xfId="1" applyFill="1" applyAlignment="1">
      <alignment vertical="top"/>
    </xf>
    <xf numFmtId="0" fontId="25" fillId="3" borderId="0" xfId="0" applyFont="1" applyFill="1" applyAlignment="1">
      <alignment horizontal="left" vertical="top"/>
    </xf>
    <xf numFmtId="0" fontId="28" fillId="0" borderId="76" xfId="0" applyFont="1" applyBorder="1" applyAlignment="1">
      <alignment vertical="center" wrapText="1"/>
    </xf>
    <xf numFmtId="14" fontId="0" fillId="0" borderId="0" xfId="0" applyNumberFormat="1"/>
    <xf numFmtId="0" fontId="29" fillId="0" borderId="0" xfId="0" applyFont="1" applyAlignment="1"/>
    <xf numFmtId="0" fontId="25" fillId="0" borderId="77" xfId="0" applyFont="1" applyBorder="1" applyAlignment="1">
      <alignment horizontal="center"/>
    </xf>
    <xf numFmtId="0" fontId="25" fillId="3" borderId="77" xfId="0" applyFont="1" applyFill="1" applyBorder="1" applyAlignment="1">
      <alignment horizontal="center"/>
    </xf>
    <xf numFmtId="0" fontId="28" fillId="3" borderId="77" xfId="0" applyFont="1" applyFill="1" applyBorder="1" applyAlignment="1">
      <alignment horizontal="center"/>
    </xf>
    <xf numFmtId="1" fontId="25" fillId="3" borderId="77" xfId="0" applyNumberFormat="1" applyFont="1" applyFill="1" applyBorder="1" applyAlignment="1">
      <alignment horizontal="center"/>
    </xf>
    <xf numFmtId="0" fontId="28" fillId="0" borderId="77" xfId="0" applyFont="1" applyBorder="1" applyAlignment="1">
      <alignment horizontal="center"/>
    </xf>
    <xf numFmtId="0" fontId="28" fillId="0" borderId="0" xfId="0" applyFont="1"/>
    <xf numFmtId="0" fontId="0" fillId="5" borderId="0" xfId="0" applyFill="1"/>
    <xf numFmtId="0" fontId="28" fillId="3" borderId="0" xfId="0" applyFont="1" applyFill="1"/>
    <xf numFmtId="0" fontId="28" fillId="3" borderId="0" xfId="0" applyFont="1" applyFill="1" applyAlignment="1">
      <alignment horizontal="left" vertical="top" indent="3"/>
    </xf>
    <xf numFmtId="0" fontId="30" fillId="5" borderId="0" xfId="0" applyFont="1" applyFill="1" applyAlignment="1">
      <alignment vertical="center"/>
    </xf>
    <xf numFmtId="0" fontId="25" fillId="3" borderId="0" xfId="0" applyFont="1" applyFill="1" applyAlignment="1">
      <alignment horizontal="left" vertical="top" indent="6"/>
    </xf>
    <xf numFmtId="0" fontId="25" fillId="3" borderId="0" xfId="0" applyFont="1" applyFill="1" applyAlignment="1">
      <alignment horizontal="left" indent="6"/>
    </xf>
    <xf numFmtId="0" fontId="25" fillId="0" borderId="0" xfId="0" applyFont="1" applyFill="1" applyAlignment="1">
      <alignment horizontal="left" vertical="top" indent="3"/>
    </xf>
    <xf numFmtId="0" fontId="28" fillId="3" borderId="78" xfId="0" applyFont="1" applyFill="1" applyBorder="1" applyAlignment="1">
      <alignment vertical="top"/>
    </xf>
    <xf numFmtId="0" fontId="25" fillId="3" borderId="79" xfId="0" applyFont="1" applyFill="1" applyBorder="1" applyAlignment="1">
      <alignment vertical="top"/>
    </xf>
    <xf numFmtId="0" fontId="25" fillId="3" borderId="80" xfId="0" applyFont="1" applyFill="1" applyBorder="1" applyAlignment="1">
      <alignment vertical="top"/>
    </xf>
    <xf numFmtId="0" fontId="25" fillId="0" borderId="81" xfId="0" applyFont="1" applyFill="1" applyBorder="1" applyAlignment="1">
      <alignment vertical="top"/>
    </xf>
    <xf numFmtId="0" fontId="25" fillId="0" borderId="82" xfId="0" applyFont="1" applyFill="1" applyBorder="1" applyAlignment="1">
      <alignment vertical="top"/>
    </xf>
    <xf numFmtId="0" fontId="28" fillId="0" borderId="0" xfId="0" applyFont="1" applyFill="1" applyAlignment="1">
      <alignment horizontal="left" vertical="top" indent="3"/>
    </xf>
    <xf numFmtId="0" fontId="26" fillId="0" borderId="0" xfId="0" applyNumberFormat="1" applyFont="1" applyFill="1" applyBorder="1"/>
    <xf numFmtId="170" fontId="26" fillId="2" borderId="0" xfId="0" applyNumberFormat="1" applyFont="1" applyFill="1"/>
    <xf numFmtId="0" fontId="25" fillId="0" borderId="0" xfId="0" applyFont="1"/>
    <xf numFmtId="0" fontId="26" fillId="2" borderId="0" xfId="0" applyFont="1" applyFill="1"/>
    <xf numFmtId="0" fontId="28" fillId="3" borderId="77" xfId="0" applyFont="1" applyFill="1" applyBorder="1" applyAlignment="1">
      <alignment horizontal="center"/>
    </xf>
    <xf numFmtId="1" fontId="25" fillId="3" borderId="77" xfId="0" applyNumberFormat="1" applyFont="1" applyFill="1" applyBorder="1" applyAlignment="1">
      <alignment horizontal="center"/>
    </xf>
    <xf numFmtId="0" fontId="31" fillId="2" borderId="0" xfId="0" applyFont="1" applyFill="1" applyAlignment="1">
      <alignment horizontal="center"/>
    </xf>
    <xf numFmtId="0" fontId="32" fillId="2" borderId="0" xfId="0" applyFont="1" applyFill="1"/>
    <xf numFmtId="170" fontId="25" fillId="3" borderId="77" xfId="0" applyNumberFormat="1" applyFont="1" applyFill="1" applyBorder="1" applyAlignment="1">
      <alignment horizontal="center"/>
    </xf>
    <xf numFmtId="170" fontId="25" fillId="0" borderId="0" xfId="0" applyNumberFormat="1" applyFont="1"/>
    <xf numFmtId="0" fontId="9" fillId="0" borderId="0" xfId="0" applyFont="1" applyFill="1" applyAlignment="1">
      <alignment horizontal="left" vertical="top" indent="3"/>
    </xf>
    <xf numFmtId="0" fontId="28" fillId="3" borderId="0" xfId="0" applyFont="1" applyFill="1" applyAlignment="1">
      <alignment horizontal="left" vertical="top"/>
    </xf>
    <xf numFmtId="176" fontId="0" fillId="0" borderId="0" xfId="0" applyNumberFormat="1"/>
    <xf numFmtId="0" fontId="24" fillId="0" borderId="0" xfId="0" applyFont="1"/>
    <xf numFmtId="1" fontId="31" fillId="2" borderId="0" xfId="0" applyNumberFormat="1" applyFont="1" applyFill="1" applyAlignment="1">
      <alignment horizontal="center"/>
    </xf>
    <xf numFmtId="2" fontId="0" fillId="0" borderId="0" xfId="0" applyNumberFormat="1"/>
    <xf numFmtId="0" fontId="25" fillId="6" borderId="77" xfId="0" applyFont="1" applyFill="1" applyBorder="1" applyAlignment="1">
      <alignment horizontal="center"/>
    </xf>
    <xf numFmtId="0" fontId="33" fillId="3" borderId="0" xfId="0" applyFont="1" applyFill="1"/>
    <xf numFmtId="0" fontId="34" fillId="3" borderId="0" xfId="0" applyFont="1" applyFill="1"/>
    <xf numFmtId="1" fontId="35" fillId="3" borderId="1" xfId="0" applyNumberFormat="1" applyFont="1" applyFill="1" applyBorder="1" applyAlignment="1">
      <alignment horizontal="center"/>
    </xf>
    <xf numFmtId="0" fontId="33" fillId="3" borderId="0" xfId="0" applyNumberFormat="1" applyFont="1" applyFill="1" applyBorder="1"/>
    <xf numFmtId="1" fontId="0" fillId="0" borderId="0" xfId="0" applyNumberFormat="1"/>
    <xf numFmtId="0" fontId="28" fillId="3" borderId="83" xfId="0" applyFont="1" applyFill="1" applyBorder="1" applyAlignment="1">
      <alignment vertical="top"/>
    </xf>
    <xf numFmtId="0" fontId="25" fillId="3" borderId="0" xfId="0" applyFont="1" applyFill="1" applyBorder="1" applyAlignment="1">
      <alignment vertical="top"/>
    </xf>
    <xf numFmtId="0" fontId="25" fillId="3" borderId="76" xfId="0" applyFont="1" applyFill="1" applyBorder="1" applyAlignment="1">
      <alignment vertical="top"/>
    </xf>
    <xf numFmtId="0" fontId="25" fillId="0" borderId="84" xfId="0" applyFont="1" applyFill="1" applyBorder="1" applyAlignment="1">
      <alignment horizontal="center" vertical="top"/>
    </xf>
    <xf numFmtId="0" fontId="28" fillId="3" borderId="83" xfId="0" applyFont="1" applyFill="1" applyBorder="1" applyAlignment="1">
      <alignment vertical="top" wrapText="1"/>
    </xf>
    <xf numFmtId="0" fontId="25" fillId="3" borderId="83" xfId="0" applyFont="1" applyFill="1" applyBorder="1" applyAlignment="1">
      <alignment vertical="top" wrapText="1"/>
    </xf>
    <xf numFmtId="0" fontId="5" fillId="7" borderId="2" xfId="2" applyNumberFormat="1" applyFont="1" applyFill="1" applyBorder="1" applyAlignment="1" applyProtection="1">
      <alignment horizontal="center"/>
      <protection locked="0"/>
    </xf>
    <xf numFmtId="0" fontId="5" fillId="7" borderId="3" xfId="2" applyNumberFormat="1" applyFont="1" applyFill="1" applyBorder="1" applyAlignment="1" applyProtection="1">
      <alignment horizontal="center"/>
      <protection locked="0"/>
    </xf>
    <xf numFmtId="0" fontId="5" fillId="7" borderId="4" xfId="2" applyNumberFormat="1" applyFont="1" applyFill="1" applyBorder="1" applyAlignment="1" applyProtection="1">
      <alignment horizontal="center"/>
      <protection locked="0"/>
    </xf>
    <xf numFmtId="0" fontId="5" fillId="7" borderId="5" xfId="2" applyNumberFormat="1" applyFont="1" applyFill="1" applyBorder="1" applyAlignment="1" applyProtection="1">
      <alignment horizontal="center"/>
      <protection locked="0"/>
    </xf>
    <xf numFmtId="170" fontId="5" fillId="7" borderId="2" xfId="0" applyNumberFormat="1" applyFont="1" applyFill="1" applyBorder="1" applyAlignment="1" applyProtection="1">
      <alignment horizontal="center"/>
      <protection locked="0"/>
    </xf>
    <xf numFmtId="170" fontId="5" fillId="7" borderId="6" xfId="0" applyNumberFormat="1" applyFont="1" applyFill="1" applyBorder="1" applyAlignment="1" applyProtection="1">
      <alignment horizontal="center"/>
      <protection locked="0"/>
    </xf>
    <xf numFmtId="170" fontId="5" fillId="7" borderId="7" xfId="0" applyNumberFormat="1" applyFont="1" applyFill="1" applyBorder="1" applyAlignment="1" applyProtection="1">
      <alignment horizontal="center"/>
      <protection locked="0"/>
    </xf>
    <xf numFmtId="170" fontId="5" fillId="7" borderId="2" xfId="0" applyNumberFormat="1" applyFont="1" applyFill="1" applyBorder="1" applyAlignment="1" applyProtection="1">
      <alignment horizontal="center" vertical="center"/>
      <protection locked="0"/>
    </xf>
    <xf numFmtId="170" fontId="5" fillId="7" borderId="8" xfId="0" applyNumberFormat="1" applyFont="1" applyFill="1" applyBorder="1" applyAlignment="1" applyProtection="1">
      <alignment horizontal="center"/>
      <protection locked="0"/>
    </xf>
    <xf numFmtId="0" fontId="31" fillId="7" borderId="3" xfId="0" applyFont="1" applyFill="1" applyBorder="1" applyAlignment="1" applyProtection="1">
      <alignment horizontal="center"/>
      <protection locked="0"/>
    </xf>
    <xf numFmtId="0" fontId="31" fillId="7" borderId="9" xfId="0" applyFont="1" applyFill="1" applyBorder="1" applyAlignment="1" applyProtection="1">
      <alignment horizontal="center"/>
      <protection locked="0"/>
    </xf>
    <xf numFmtId="1" fontId="5" fillId="7" borderId="8" xfId="0" applyNumberFormat="1" applyFont="1" applyFill="1" applyBorder="1" applyAlignment="1" applyProtection="1">
      <alignment horizontal="center"/>
      <protection locked="0"/>
    </xf>
    <xf numFmtId="170" fontId="5" fillId="7" borderId="3" xfId="0" applyNumberFormat="1" applyFont="1" applyFill="1" applyBorder="1" applyAlignment="1" applyProtection="1">
      <alignment horizontal="center"/>
      <protection locked="0"/>
    </xf>
    <xf numFmtId="170" fontId="5" fillId="7" borderId="10" xfId="0" applyNumberFormat="1" applyFont="1" applyFill="1" applyBorder="1" applyAlignment="1" applyProtection="1">
      <alignment horizontal="center"/>
      <protection locked="0"/>
    </xf>
    <xf numFmtId="170" fontId="5" fillId="7" borderId="3" xfId="0" applyNumberFormat="1" applyFont="1" applyFill="1" applyBorder="1" applyAlignment="1" applyProtection="1">
      <alignment horizontal="center" vertical="center"/>
      <protection locked="0"/>
    </xf>
    <xf numFmtId="170" fontId="5" fillId="7" borderId="11" xfId="0" applyNumberFormat="1" applyFont="1" applyFill="1" applyBorder="1" applyAlignment="1" applyProtection="1">
      <alignment horizontal="center"/>
      <protection locked="0"/>
    </xf>
    <xf numFmtId="170" fontId="5" fillId="7" borderId="12" xfId="0" applyNumberFormat="1" applyFont="1" applyFill="1" applyBorder="1" applyAlignment="1" applyProtection="1">
      <alignment horizontal="center"/>
      <protection locked="0"/>
    </xf>
    <xf numFmtId="170" fontId="5" fillId="7" borderId="13" xfId="0" applyNumberFormat="1" applyFont="1" applyFill="1" applyBorder="1" applyAlignment="1" applyProtection="1">
      <alignment horizontal="center"/>
      <protection locked="0"/>
    </xf>
    <xf numFmtId="0" fontId="31" fillId="7" borderId="14" xfId="0" applyFont="1" applyFill="1" applyBorder="1" applyAlignment="1" applyProtection="1">
      <alignment horizontal="center"/>
      <protection locked="0"/>
    </xf>
    <xf numFmtId="1" fontId="5" fillId="7" borderId="13" xfId="0" applyNumberFormat="1" applyFont="1" applyFill="1" applyBorder="1" applyAlignment="1" applyProtection="1">
      <alignment horizontal="center"/>
      <protection locked="0"/>
    </xf>
    <xf numFmtId="0" fontId="5" fillId="8" borderId="15" xfId="2" applyNumberFormat="1" applyFont="1" applyFill="1" applyBorder="1" applyAlignment="1" applyProtection="1">
      <alignment horizontal="center"/>
      <protection locked="0"/>
    </xf>
    <xf numFmtId="14" fontId="5" fillId="8" borderId="15" xfId="2" applyNumberFormat="1" applyFont="1" applyFill="1" applyBorder="1" applyAlignment="1" applyProtection="1">
      <alignment horizontal="center"/>
      <protection locked="0"/>
    </xf>
    <xf numFmtId="0" fontId="25" fillId="9" borderId="77" xfId="0" applyFont="1" applyFill="1" applyBorder="1" applyAlignment="1" applyProtection="1">
      <alignment horizontal="center"/>
      <protection locked="0"/>
    </xf>
    <xf numFmtId="0" fontId="26" fillId="2" borderId="0" xfId="0" applyFont="1" applyFill="1" applyProtection="1"/>
    <xf numFmtId="0" fontId="7" fillId="5" borderId="0" xfId="0" applyFont="1" applyFill="1" applyAlignment="1" applyProtection="1">
      <alignment horizontal="left"/>
    </xf>
    <xf numFmtId="0" fontId="36" fillId="5" borderId="0" xfId="0" applyFont="1" applyFill="1" applyAlignment="1" applyProtection="1">
      <alignment horizontal="left"/>
    </xf>
    <xf numFmtId="170" fontId="36" fillId="5" borderId="0" xfId="0" applyNumberFormat="1" applyFont="1" applyFill="1" applyAlignment="1" applyProtection="1">
      <alignment horizontal="left"/>
    </xf>
    <xf numFmtId="0" fontId="37" fillId="5" borderId="0" xfId="0" applyFont="1" applyFill="1" applyAlignment="1" applyProtection="1">
      <alignment horizontal="center"/>
    </xf>
    <xf numFmtId="1" fontId="37" fillId="5" borderId="0" xfId="0" applyNumberFormat="1" applyFont="1" applyFill="1" applyAlignment="1" applyProtection="1">
      <alignment horizontal="center"/>
    </xf>
    <xf numFmtId="0" fontId="36" fillId="3" borderId="0" xfId="0" applyFont="1" applyFill="1" applyAlignment="1" applyProtection="1">
      <alignment horizontal="left"/>
    </xf>
    <xf numFmtId="0" fontId="7" fillId="3" borderId="0" xfId="0" applyFont="1" applyFill="1" applyAlignment="1" applyProtection="1">
      <alignment horizontal="left"/>
    </xf>
    <xf numFmtId="170" fontId="36" fillId="3" borderId="0" xfId="0" applyNumberFormat="1" applyFont="1" applyFill="1" applyAlignment="1" applyProtection="1">
      <alignment horizontal="left"/>
    </xf>
    <xf numFmtId="0" fontId="37" fillId="3" borderId="0" xfId="0" applyFont="1" applyFill="1" applyAlignment="1" applyProtection="1">
      <alignment horizontal="center"/>
    </xf>
    <xf numFmtId="1" fontId="37" fillId="3" borderId="0" xfId="0" applyNumberFormat="1" applyFont="1" applyFill="1" applyAlignment="1" applyProtection="1">
      <alignment horizontal="center"/>
    </xf>
    <xf numFmtId="0" fontId="26" fillId="3" borderId="0" xfId="0" applyFont="1" applyFill="1" applyProtection="1"/>
    <xf numFmtId="0" fontId="25" fillId="10" borderId="0" xfId="0" applyFont="1" applyFill="1" applyProtection="1"/>
    <xf numFmtId="0" fontId="36" fillId="10" borderId="0" xfId="0" applyFont="1" applyFill="1" applyAlignment="1" applyProtection="1">
      <alignment horizontal="left"/>
    </xf>
    <xf numFmtId="0" fontId="38" fillId="10" borderId="0" xfId="0" applyFont="1" applyFill="1" applyAlignment="1" applyProtection="1">
      <alignment horizontal="right"/>
    </xf>
    <xf numFmtId="0" fontId="26" fillId="10" borderId="0" xfId="0" applyFont="1" applyFill="1" applyProtection="1"/>
    <xf numFmtId="0" fontId="38" fillId="10" borderId="0" xfId="0" quotePrefix="1" applyFont="1" applyFill="1" applyAlignment="1" applyProtection="1">
      <alignment horizontal="right"/>
    </xf>
    <xf numFmtId="170" fontId="38" fillId="10" borderId="0" xfId="0" quotePrefix="1" applyNumberFormat="1" applyFont="1" applyFill="1" applyAlignment="1" applyProtection="1">
      <alignment horizontal="right"/>
    </xf>
    <xf numFmtId="170" fontId="36" fillId="10" borderId="0" xfId="0" applyNumberFormat="1" applyFont="1" applyFill="1" applyAlignment="1" applyProtection="1">
      <alignment horizontal="left"/>
    </xf>
    <xf numFmtId="0" fontId="37" fillId="10" borderId="0" xfId="0" applyFont="1" applyFill="1" applyAlignment="1" applyProtection="1">
      <alignment horizontal="center"/>
    </xf>
    <xf numFmtId="1" fontId="37" fillId="4" borderId="0" xfId="0" applyNumberFormat="1" applyFont="1" applyFill="1" applyAlignment="1" applyProtection="1">
      <alignment horizontal="center"/>
    </xf>
    <xf numFmtId="0" fontId="36" fillId="4" borderId="0" xfId="0" applyFont="1" applyFill="1" applyAlignment="1" applyProtection="1">
      <alignment horizontal="left"/>
    </xf>
    <xf numFmtId="0" fontId="28" fillId="10" borderId="0" xfId="0" applyNumberFormat="1" applyFont="1" applyFill="1" applyAlignment="1" applyProtection="1">
      <alignment horizontal="right"/>
    </xf>
    <xf numFmtId="0" fontId="3" fillId="10" borderId="0" xfId="2" applyFont="1" applyFill="1" applyBorder="1" applyAlignment="1" applyProtection="1">
      <alignment horizontal="right"/>
    </xf>
    <xf numFmtId="14" fontId="5" fillId="8" borderId="0" xfId="2" applyNumberFormat="1" applyFont="1" applyFill="1" applyBorder="1" applyAlignment="1" applyProtection="1">
      <alignment horizontal="center"/>
    </xf>
    <xf numFmtId="0" fontId="38" fillId="10" borderId="0" xfId="0" applyFont="1" applyFill="1" applyBorder="1" applyAlignment="1" applyProtection="1">
      <alignment horizontal="center"/>
    </xf>
    <xf numFmtId="1" fontId="23" fillId="10" borderId="0" xfId="1" applyNumberFormat="1" applyFill="1" applyBorder="1" applyAlignment="1" applyProtection="1">
      <alignment horizontal="center"/>
    </xf>
    <xf numFmtId="0" fontId="28" fillId="10" borderId="0" xfId="0" applyFont="1" applyFill="1" applyBorder="1" applyAlignment="1" applyProtection="1">
      <alignment horizontal="right"/>
    </xf>
    <xf numFmtId="0" fontId="5" fillId="8" borderId="0" xfId="2" applyNumberFormat="1" applyFont="1" applyFill="1" applyBorder="1" applyAlignment="1" applyProtection="1">
      <alignment horizontal="center"/>
    </xf>
    <xf numFmtId="0" fontId="25" fillId="10" borderId="0" xfId="0" applyFont="1" applyFill="1" applyBorder="1" applyAlignment="1" applyProtection="1"/>
    <xf numFmtId="0" fontId="31" fillId="10" borderId="0" xfId="0" quotePrefix="1" applyFont="1" applyFill="1" applyBorder="1" applyAlignment="1" applyProtection="1">
      <alignment horizontal="center"/>
    </xf>
    <xf numFmtId="1" fontId="31" fillId="4" borderId="0" xfId="0" quotePrefix="1" applyNumberFormat="1" applyFont="1" applyFill="1" applyBorder="1" applyAlignment="1" applyProtection="1">
      <alignment horizontal="center"/>
    </xf>
    <xf numFmtId="170" fontId="26" fillId="10" borderId="0" xfId="0" applyNumberFormat="1" applyFont="1" applyFill="1" applyProtection="1"/>
    <xf numFmtId="170" fontId="38" fillId="10" borderId="0" xfId="0" quotePrefix="1" applyNumberFormat="1" applyFont="1" applyFill="1" applyAlignment="1" applyProtection="1"/>
    <xf numFmtId="0" fontId="38" fillId="10" borderId="0" xfId="0" quotePrefix="1" applyFont="1" applyFill="1" applyAlignment="1" applyProtection="1"/>
    <xf numFmtId="0" fontId="38" fillId="10" borderId="0" xfId="0" quotePrefix="1" applyFont="1" applyFill="1" applyBorder="1" applyAlignment="1" applyProtection="1"/>
    <xf numFmtId="0" fontId="39" fillId="10" borderId="0" xfId="0" quotePrefix="1" applyFont="1" applyFill="1" applyBorder="1" applyAlignment="1" applyProtection="1">
      <alignment horizontal="center"/>
    </xf>
    <xf numFmtId="1" fontId="39" fillId="4" borderId="0" xfId="0" quotePrefix="1" applyNumberFormat="1" applyFont="1" applyFill="1" applyBorder="1" applyAlignment="1" applyProtection="1">
      <alignment horizontal="center"/>
    </xf>
    <xf numFmtId="0" fontId="38" fillId="4" borderId="0" xfId="0" quotePrefix="1" applyFont="1" applyFill="1" applyAlignment="1" applyProtection="1"/>
    <xf numFmtId="0" fontId="25" fillId="3" borderId="0" xfId="0" applyFont="1" applyFill="1" applyProtection="1"/>
    <xf numFmtId="170" fontId="26" fillId="3" borderId="0" xfId="0" applyNumberFormat="1" applyFont="1" applyFill="1" applyProtection="1"/>
    <xf numFmtId="170" fontId="38" fillId="3" borderId="0" xfId="0" quotePrefix="1" applyNumberFormat="1" applyFont="1" applyFill="1" applyAlignment="1" applyProtection="1"/>
    <xf numFmtId="0" fontId="38" fillId="3" borderId="0" xfId="0" quotePrefix="1" applyFont="1" applyFill="1" applyAlignment="1" applyProtection="1"/>
    <xf numFmtId="0" fontId="39" fillId="3" borderId="0" xfId="0" quotePrefix="1" applyFont="1" applyFill="1" applyAlignment="1" applyProtection="1">
      <alignment horizontal="center"/>
    </xf>
    <xf numFmtId="1" fontId="39" fillId="3" borderId="0" xfId="0" quotePrefix="1" applyNumberFormat="1" applyFont="1" applyFill="1" applyAlignment="1" applyProtection="1">
      <alignment horizontal="center"/>
    </xf>
    <xf numFmtId="0" fontId="40" fillId="10" borderId="16" xfId="2" applyFont="1" applyFill="1" applyBorder="1" applyAlignment="1" applyProtection="1">
      <alignment horizontal="right"/>
    </xf>
    <xf numFmtId="0" fontId="39" fillId="10" borderId="17" xfId="0" applyFont="1" applyFill="1" applyBorder="1" applyAlignment="1" applyProtection="1">
      <alignment horizontal="center"/>
    </xf>
    <xf numFmtId="0" fontId="39" fillId="5" borderId="18" xfId="0" applyFont="1" applyFill="1" applyBorder="1" applyAlignment="1" applyProtection="1"/>
    <xf numFmtId="0" fontId="39" fillId="5" borderId="19" xfId="0" applyFont="1" applyFill="1" applyBorder="1" applyAlignment="1" applyProtection="1"/>
    <xf numFmtId="0" fontId="1" fillId="10" borderId="19" xfId="0" applyFont="1" applyFill="1" applyBorder="1" applyAlignment="1" applyProtection="1">
      <alignment horizontal="center" vertical="center" wrapText="1"/>
    </xf>
    <xf numFmtId="0" fontId="1" fillId="10" borderId="20" xfId="0" applyFont="1" applyFill="1" applyBorder="1" applyAlignment="1" applyProtection="1">
      <alignment horizontal="center" vertical="center" wrapText="1"/>
    </xf>
    <xf numFmtId="170" fontId="1" fillId="10" borderId="21" xfId="0" applyNumberFormat="1" applyFont="1" applyFill="1" applyBorder="1" applyAlignment="1" applyProtection="1">
      <alignment horizontal="center" vertical="center" wrapText="1"/>
    </xf>
    <xf numFmtId="170" fontId="1" fillId="10" borderId="22" xfId="0" applyNumberFormat="1" applyFont="1" applyFill="1" applyBorder="1" applyAlignment="1" applyProtection="1">
      <alignment horizontal="center" vertical="center" wrapText="1"/>
    </xf>
    <xf numFmtId="0" fontId="4" fillId="10" borderId="23" xfId="0" applyFont="1" applyFill="1" applyBorder="1" applyAlignment="1" applyProtection="1">
      <alignment horizontal="center" vertical="center" wrapText="1"/>
    </xf>
    <xf numFmtId="0" fontId="4" fillId="10" borderId="24" xfId="0" applyNumberFormat="1" applyFont="1" applyFill="1" applyBorder="1" applyAlignment="1" applyProtection="1">
      <alignment horizontal="center" vertical="center" wrapText="1"/>
    </xf>
    <xf numFmtId="0" fontId="6" fillId="10" borderId="25" xfId="0" applyFont="1" applyFill="1" applyBorder="1" applyAlignment="1" applyProtection="1">
      <alignment horizontal="center" vertical="center" wrapText="1"/>
    </xf>
    <xf numFmtId="0" fontId="6" fillId="10" borderId="26" xfId="0" applyFont="1" applyFill="1" applyBorder="1" applyAlignment="1" applyProtection="1">
      <alignment horizontal="center" vertical="center" wrapText="1"/>
    </xf>
    <xf numFmtId="0" fontId="6" fillId="10" borderId="24" xfId="0" applyFont="1" applyFill="1" applyBorder="1" applyAlignment="1" applyProtection="1">
      <alignment horizontal="center" vertical="center" wrapText="1"/>
    </xf>
    <xf numFmtId="170" fontId="6" fillId="10" borderId="23" xfId="0" applyNumberFormat="1" applyFont="1" applyFill="1" applyBorder="1" applyAlignment="1" applyProtection="1">
      <alignment horizontal="center" vertical="center" wrapText="1"/>
    </xf>
    <xf numFmtId="170" fontId="6" fillId="10" borderId="26" xfId="0" applyNumberFormat="1" applyFont="1" applyFill="1" applyBorder="1" applyAlignment="1" applyProtection="1">
      <alignment horizontal="center" vertical="center" wrapText="1"/>
    </xf>
    <xf numFmtId="0" fontId="6" fillId="10" borderId="0" xfId="0" applyFont="1" applyFill="1" applyBorder="1" applyAlignment="1" applyProtection="1">
      <alignment horizontal="center" vertical="center" wrapText="1"/>
    </xf>
    <xf numFmtId="1" fontId="6" fillId="4" borderId="27" xfId="0" applyNumberFormat="1" applyFont="1" applyFill="1" applyBorder="1" applyAlignment="1" applyProtection="1">
      <alignment horizontal="center" vertical="center" wrapText="1"/>
    </xf>
    <xf numFmtId="1" fontId="6" fillId="4" borderId="26" xfId="0" applyNumberFormat="1" applyFont="1" applyFill="1" applyBorder="1" applyAlignment="1" applyProtection="1">
      <alignment horizontal="center" vertical="center" wrapText="1"/>
    </xf>
    <xf numFmtId="0" fontId="32" fillId="2" borderId="0" xfId="0" applyFont="1" applyFill="1" applyProtection="1"/>
    <xf numFmtId="14" fontId="5" fillId="10" borderId="28" xfId="2" applyNumberFormat="1" applyFont="1" applyFill="1" applyBorder="1" applyAlignment="1" applyProtection="1">
      <alignment horizontal="center"/>
    </xf>
    <xf numFmtId="0" fontId="5" fillId="10" borderId="29" xfId="2" applyNumberFormat="1" applyFont="1" applyFill="1" applyBorder="1" applyAlignment="1" applyProtection="1">
      <alignment horizontal="center"/>
    </xf>
    <xf numFmtId="0" fontId="5" fillId="10" borderId="30" xfId="0" applyFont="1" applyFill="1" applyBorder="1" applyAlignment="1" applyProtection="1">
      <alignment horizontal="center"/>
    </xf>
    <xf numFmtId="0" fontId="5" fillId="10" borderId="30" xfId="2" applyNumberFormat="1" applyFont="1" applyFill="1" applyBorder="1" applyAlignment="1" applyProtection="1">
      <alignment horizontal="center"/>
    </xf>
    <xf numFmtId="170" fontId="5" fillId="10" borderId="29" xfId="0" applyNumberFormat="1" applyFont="1" applyFill="1" applyBorder="1" applyAlignment="1" applyProtection="1">
      <alignment horizontal="center"/>
    </xf>
    <xf numFmtId="170" fontId="26" fillId="10" borderId="28" xfId="0" applyNumberFormat="1" applyFont="1" applyFill="1" applyBorder="1" applyProtection="1"/>
    <xf numFmtId="170" fontId="26" fillId="10" borderId="31" xfId="0" applyNumberFormat="1" applyFont="1" applyFill="1" applyBorder="1" applyProtection="1"/>
    <xf numFmtId="170" fontId="26" fillId="10" borderId="32" xfId="0" applyNumberFormat="1" applyFont="1" applyFill="1" applyBorder="1" applyProtection="1"/>
    <xf numFmtId="0" fontId="26" fillId="10" borderId="33" xfId="0" applyFont="1" applyFill="1" applyBorder="1" applyAlignment="1" applyProtection="1">
      <alignment horizontal="center"/>
    </xf>
    <xf numFmtId="0" fontId="26" fillId="10" borderId="32" xfId="0" applyFont="1" applyFill="1" applyBorder="1" applyAlignment="1" applyProtection="1">
      <alignment horizontal="center"/>
    </xf>
    <xf numFmtId="0" fontId="41" fillId="10" borderId="29" xfId="0" applyFont="1" applyFill="1" applyBorder="1" applyAlignment="1" applyProtection="1">
      <alignment horizontal="center"/>
    </xf>
    <xf numFmtId="0" fontId="41" fillId="10" borderId="16" xfId="0" applyFont="1" applyFill="1" applyBorder="1" applyAlignment="1" applyProtection="1">
      <alignment horizontal="center"/>
    </xf>
    <xf numFmtId="0" fontId="42" fillId="10" borderId="31" xfId="0" applyFont="1" applyFill="1" applyBorder="1" applyAlignment="1" applyProtection="1">
      <alignment horizontal="center" vertical="center" wrapText="1"/>
    </xf>
    <xf numFmtId="0" fontId="26" fillId="10" borderId="34" xfId="0" applyFont="1" applyFill="1" applyBorder="1" applyAlignment="1" applyProtection="1">
      <alignment horizontal="center"/>
    </xf>
    <xf numFmtId="0" fontId="26" fillId="10" borderId="35" xfId="0" applyFont="1" applyFill="1" applyBorder="1" applyAlignment="1" applyProtection="1">
      <alignment horizontal="center"/>
    </xf>
    <xf numFmtId="0" fontId="31" fillId="10" borderId="32" xfId="0" applyFont="1" applyFill="1" applyBorder="1" applyAlignment="1" applyProtection="1">
      <alignment horizontal="center"/>
    </xf>
    <xf numFmtId="1" fontId="31" fillId="4" borderId="34" xfId="0" applyNumberFormat="1" applyFont="1" applyFill="1" applyBorder="1" applyAlignment="1" applyProtection="1">
      <alignment horizontal="center"/>
    </xf>
    <xf numFmtId="0" fontId="26" fillId="4" borderId="32" xfId="0" applyFont="1" applyFill="1" applyBorder="1" applyAlignment="1" applyProtection="1">
      <alignment horizontal="center"/>
    </xf>
    <xf numFmtId="14" fontId="5" fillId="2" borderId="36" xfId="2" applyNumberFormat="1" applyFont="1" applyFill="1" applyBorder="1" applyAlignment="1" applyProtection="1">
      <alignment horizontal="center"/>
    </xf>
    <xf numFmtId="1" fontId="31" fillId="2" borderId="2" xfId="0" applyNumberFormat="1" applyFont="1" applyFill="1" applyBorder="1" applyAlignment="1" applyProtection="1">
      <alignment horizontal="center"/>
    </xf>
    <xf numFmtId="1" fontId="31" fillId="2" borderId="37" xfId="0" applyNumberFormat="1" applyFont="1" applyFill="1" applyBorder="1" applyAlignment="1" applyProtection="1">
      <alignment horizontal="center"/>
    </xf>
    <xf numFmtId="1" fontId="5" fillId="2" borderId="7" xfId="2" applyNumberFormat="1" applyFont="1" applyFill="1" applyBorder="1" applyAlignment="1" applyProtection="1">
      <alignment horizontal="center"/>
    </xf>
    <xf numFmtId="170" fontId="31" fillId="0" borderId="3" xfId="0" applyNumberFormat="1" applyFont="1" applyFill="1" applyBorder="1" applyAlignment="1" applyProtection="1">
      <alignment horizontal="center"/>
    </xf>
    <xf numFmtId="170" fontId="31" fillId="0" borderId="38" xfId="0" applyNumberFormat="1" applyFont="1" applyFill="1" applyBorder="1" applyAlignment="1" applyProtection="1">
      <alignment horizontal="center"/>
    </xf>
    <xf numFmtId="170" fontId="31" fillId="2" borderId="8" xfId="0" applyNumberFormat="1" applyFont="1" applyFill="1" applyBorder="1" applyAlignment="1" applyProtection="1">
      <alignment horizontal="center"/>
    </xf>
    <xf numFmtId="1" fontId="31" fillId="2" borderId="9" xfId="0" applyNumberFormat="1" applyFont="1" applyFill="1" applyBorder="1" applyAlignment="1" applyProtection="1">
      <alignment horizontal="center"/>
    </xf>
    <xf numFmtId="1" fontId="33" fillId="2" borderId="0" xfId="0" applyNumberFormat="1" applyFont="1" applyFill="1" applyProtection="1"/>
    <xf numFmtId="14" fontId="5" fillId="2" borderId="9" xfId="2" applyNumberFormat="1" applyFont="1" applyFill="1" applyBorder="1" applyAlignment="1" applyProtection="1">
      <alignment horizontal="center"/>
    </xf>
    <xf numFmtId="1" fontId="31" fillId="2" borderId="3" xfId="0" applyNumberFormat="1" applyFont="1" applyFill="1" applyBorder="1" applyAlignment="1" applyProtection="1">
      <alignment horizontal="center"/>
    </xf>
    <xf numFmtId="1" fontId="31" fillId="2" borderId="39" xfId="0" applyNumberFormat="1" applyFont="1" applyFill="1" applyBorder="1" applyAlignment="1" applyProtection="1">
      <alignment horizontal="center"/>
    </xf>
    <xf numFmtId="1" fontId="5" fillId="2" borderId="8" xfId="2" applyNumberFormat="1" applyFont="1" applyFill="1" applyBorder="1" applyAlignment="1" applyProtection="1">
      <alignment horizontal="center"/>
    </xf>
    <xf numFmtId="14" fontId="5" fillId="2" borderId="14" xfId="2" applyNumberFormat="1" applyFont="1" applyFill="1" applyBorder="1" applyAlignment="1" applyProtection="1">
      <alignment horizontal="center"/>
    </xf>
    <xf numFmtId="1" fontId="31" fillId="2" borderId="40" xfId="0" applyNumberFormat="1" applyFont="1" applyFill="1" applyBorder="1" applyAlignment="1" applyProtection="1">
      <alignment horizontal="center"/>
    </xf>
    <xf numFmtId="1" fontId="31" fillId="2" borderId="41" xfId="0" applyNumberFormat="1" applyFont="1" applyFill="1" applyBorder="1" applyAlignment="1" applyProtection="1">
      <alignment horizontal="center"/>
    </xf>
    <xf numFmtId="1" fontId="5" fillId="2" borderId="13" xfId="2" applyNumberFormat="1" applyFont="1" applyFill="1" applyBorder="1" applyAlignment="1" applyProtection="1">
      <alignment horizontal="center"/>
    </xf>
    <xf numFmtId="170" fontId="31" fillId="0" borderId="11" xfId="0" applyNumberFormat="1" applyFont="1" applyFill="1" applyBorder="1" applyAlignment="1" applyProtection="1">
      <alignment horizontal="center"/>
    </xf>
    <xf numFmtId="170" fontId="31" fillId="0" borderId="42" xfId="0" applyNumberFormat="1" applyFont="1" applyFill="1" applyBorder="1" applyAlignment="1" applyProtection="1">
      <alignment horizontal="center"/>
    </xf>
    <xf numFmtId="170" fontId="31" fillId="2" borderId="13" xfId="0" applyNumberFormat="1" applyFont="1" applyFill="1" applyBorder="1" applyAlignment="1" applyProtection="1">
      <alignment horizontal="center"/>
    </xf>
    <xf numFmtId="0" fontId="5" fillId="0" borderId="0" xfId="2" applyNumberFormat="1" applyFont="1" applyFill="1" applyBorder="1" applyAlignment="1" applyProtection="1">
      <alignment horizontal="center"/>
    </xf>
    <xf numFmtId="0" fontId="5" fillId="0" borderId="0" xfId="0" applyNumberFormat="1" applyFont="1" applyFill="1" applyBorder="1" applyAlignment="1" applyProtection="1">
      <alignment horizontal="center"/>
    </xf>
    <xf numFmtId="170" fontId="5" fillId="0" borderId="0" xfId="0" applyNumberFormat="1" applyFont="1" applyFill="1" applyBorder="1" applyAlignment="1" applyProtection="1">
      <alignment horizontal="center"/>
    </xf>
    <xf numFmtId="0" fontId="31" fillId="0" borderId="0" xfId="0" applyNumberFormat="1" applyFont="1" applyFill="1" applyBorder="1" applyAlignment="1" applyProtection="1">
      <alignment horizontal="center"/>
    </xf>
    <xf numFmtId="1" fontId="31" fillId="2" borderId="43" xfId="0" applyNumberFormat="1" applyFont="1" applyFill="1" applyBorder="1" applyAlignment="1" applyProtection="1">
      <alignment horizontal="center"/>
    </xf>
    <xf numFmtId="1" fontId="31" fillId="2" borderId="0" xfId="0" applyNumberFormat="1" applyFont="1" applyFill="1" applyBorder="1" applyAlignment="1" applyProtection="1">
      <alignment horizontal="center"/>
    </xf>
    <xf numFmtId="1" fontId="31" fillId="0" borderId="0" xfId="0" applyNumberFormat="1" applyFont="1" applyFill="1" applyBorder="1" applyAlignment="1" applyProtection="1">
      <alignment horizontal="center"/>
    </xf>
    <xf numFmtId="0" fontId="26" fillId="0" borderId="0" xfId="0" applyNumberFormat="1" applyFont="1" applyFill="1" applyBorder="1" applyProtection="1"/>
    <xf numFmtId="0" fontId="31" fillId="2" borderId="0" xfId="0" applyFont="1" applyFill="1" applyProtection="1"/>
    <xf numFmtId="0" fontId="31" fillId="2" borderId="0" xfId="0" applyNumberFormat="1" applyFont="1" applyFill="1" applyProtection="1"/>
    <xf numFmtId="170" fontId="31" fillId="2" borderId="0" xfId="0" applyNumberFormat="1" applyFont="1" applyFill="1" applyProtection="1"/>
    <xf numFmtId="0" fontId="31" fillId="2" borderId="0" xfId="0" applyFont="1" applyFill="1" applyAlignment="1" applyProtection="1">
      <alignment horizontal="center"/>
    </xf>
    <xf numFmtId="1" fontId="31" fillId="2" borderId="0" xfId="0" applyNumberFormat="1" applyFont="1" applyFill="1" applyAlignment="1" applyProtection="1">
      <alignment horizontal="center"/>
    </xf>
    <xf numFmtId="0" fontId="5" fillId="7" borderId="44" xfId="2" applyNumberFormat="1" applyFont="1" applyFill="1" applyBorder="1" applyAlignment="1" applyProtection="1">
      <alignment horizontal="center"/>
      <protection locked="0"/>
    </xf>
    <xf numFmtId="180" fontId="25" fillId="3" borderId="77" xfId="0" applyNumberFormat="1" applyFont="1" applyFill="1" applyBorder="1" applyAlignment="1">
      <alignment horizontal="center"/>
    </xf>
    <xf numFmtId="0" fontId="26" fillId="2" borderId="0" xfId="0" applyFont="1" applyFill="1" applyBorder="1"/>
    <xf numFmtId="0" fontId="26" fillId="2" borderId="0" xfId="0" applyNumberFormat="1" applyFont="1" applyFill="1" applyBorder="1"/>
    <xf numFmtId="0" fontId="38" fillId="2" borderId="0" xfId="0" applyFont="1" applyFill="1" applyBorder="1" applyProtection="1"/>
    <xf numFmtId="0" fontId="38" fillId="2" borderId="0" xfId="0" applyNumberFormat="1" applyFont="1" applyFill="1" applyBorder="1" applyProtection="1"/>
    <xf numFmtId="0" fontId="38" fillId="2" borderId="0" xfId="0" applyNumberFormat="1" applyFont="1" applyFill="1" applyBorder="1" applyAlignment="1" applyProtection="1">
      <alignment horizontal="center"/>
    </xf>
    <xf numFmtId="0" fontId="5" fillId="6" borderId="38" xfId="0" applyFont="1" applyFill="1" applyBorder="1" applyAlignment="1" applyProtection="1">
      <alignment horizontal="center"/>
    </xf>
    <xf numFmtId="179" fontId="5" fillId="6" borderId="3" xfId="2" applyNumberFormat="1" applyFont="1" applyFill="1" applyBorder="1" applyAlignment="1" applyProtection="1">
      <alignment horizontal="center"/>
    </xf>
    <xf numFmtId="179" fontId="5" fillId="6" borderId="38" xfId="0" applyNumberFormat="1" applyFont="1" applyFill="1" applyBorder="1" applyAlignment="1" applyProtection="1">
      <alignment horizontal="center"/>
    </xf>
    <xf numFmtId="179" fontId="5" fillId="6" borderId="38" xfId="2" applyNumberFormat="1" applyFont="1" applyFill="1" applyBorder="1" applyAlignment="1" applyProtection="1">
      <alignment horizontal="center"/>
    </xf>
    <xf numFmtId="0" fontId="42" fillId="10" borderId="23" xfId="0" applyNumberFormat="1" applyFont="1" applyFill="1" applyBorder="1" applyAlignment="1" applyProtection="1">
      <alignment horizontal="center" vertical="center" wrapText="1"/>
    </xf>
    <xf numFmtId="0" fontId="5" fillId="10" borderId="28" xfId="2" applyNumberFormat="1" applyFont="1" applyFill="1" applyBorder="1" applyAlignment="1" applyProtection="1">
      <alignment horizontal="center"/>
    </xf>
    <xf numFmtId="0" fontId="5" fillId="7" borderId="6" xfId="2" applyNumberFormat="1" applyFont="1" applyFill="1" applyBorder="1" applyAlignment="1" applyProtection="1">
      <alignment horizontal="center"/>
      <protection locked="0"/>
    </xf>
    <xf numFmtId="0" fontId="5" fillId="7" borderId="10" xfId="2" applyNumberFormat="1" applyFont="1" applyFill="1" applyBorder="1" applyAlignment="1" applyProtection="1">
      <alignment horizontal="center"/>
      <protection locked="0"/>
    </xf>
    <xf numFmtId="0" fontId="5" fillId="7" borderId="45" xfId="2" applyNumberFormat="1" applyFont="1" applyFill="1" applyBorder="1" applyAlignment="1" applyProtection="1">
      <alignment horizontal="center"/>
      <protection locked="0"/>
    </xf>
    <xf numFmtId="0" fontId="5" fillId="7" borderId="46" xfId="2" applyNumberFormat="1" applyFont="1" applyFill="1" applyBorder="1" applyAlignment="1" applyProtection="1">
      <alignment horizontal="center"/>
      <protection locked="0"/>
    </xf>
    <xf numFmtId="0" fontId="1" fillId="10" borderId="47" xfId="0" applyFont="1" applyFill="1" applyBorder="1" applyAlignment="1" applyProtection="1">
      <alignment horizontal="center" vertical="center" wrapText="1"/>
    </xf>
    <xf numFmtId="0" fontId="6" fillId="10" borderId="27" xfId="0" applyFont="1" applyFill="1" applyBorder="1" applyAlignment="1" applyProtection="1">
      <alignment horizontal="center" vertical="center" wrapText="1"/>
    </xf>
    <xf numFmtId="170" fontId="5" fillId="10" borderId="48" xfId="0" applyNumberFormat="1" applyFont="1" applyFill="1" applyBorder="1" applyAlignment="1" applyProtection="1">
      <alignment horizontal="center"/>
    </xf>
    <xf numFmtId="170" fontId="5" fillId="7" borderId="37" xfId="0" applyNumberFormat="1" applyFont="1" applyFill="1" applyBorder="1" applyAlignment="1" applyProtection="1">
      <alignment horizontal="center"/>
      <protection locked="0"/>
    </xf>
    <xf numFmtId="170" fontId="5" fillId="7" borderId="39" xfId="0" applyNumberFormat="1" applyFont="1" applyFill="1" applyBorder="1" applyAlignment="1" applyProtection="1">
      <alignment horizontal="center"/>
      <protection locked="0"/>
    </xf>
    <xf numFmtId="170" fontId="5" fillId="7" borderId="41" xfId="0" applyNumberFormat="1" applyFont="1" applyFill="1" applyBorder="1" applyAlignment="1" applyProtection="1">
      <alignment horizontal="center"/>
      <protection locked="0"/>
    </xf>
    <xf numFmtId="0" fontId="4" fillId="10" borderId="49" xfId="0" applyNumberFormat="1" applyFont="1" applyFill="1" applyBorder="1" applyAlignment="1" applyProtection="1">
      <alignment horizontal="center" vertical="center" wrapText="1"/>
    </xf>
    <xf numFmtId="0" fontId="6" fillId="10" borderId="50" xfId="0" applyFont="1" applyFill="1" applyBorder="1" applyAlignment="1" applyProtection="1">
      <alignment horizontal="center" vertical="center" wrapText="1"/>
    </xf>
    <xf numFmtId="0" fontId="5" fillId="10" borderId="51" xfId="2" applyNumberFormat="1" applyFont="1" applyFill="1" applyBorder="1" applyAlignment="1" applyProtection="1">
      <alignment horizontal="center"/>
    </xf>
    <xf numFmtId="0" fontId="5" fillId="10" borderId="52" xfId="0" applyFont="1" applyFill="1" applyBorder="1" applyAlignment="1" applyProtection="1">
      <alignment horizontal="center"/>
    </xf>
    <xf numFmtId="0" fontId="31" fillId="6" borderId="53" xfId="2" applyNumberFormat="1" applyFont="1" applyFill="1" applyBorder="1" applyAlignment="1" applyProtection="1">
      <alignment horizontal="center"/>
    </xf>
    <xf numFmtId="0" fontId="5" fillId="7" borderId="54" xfId="0" applyFont="1" applyFill="1" applyBorder="1" applyAlignment="1" applyProtection="1">
      <alignment horizontal="center"/>
      <protection locked="0"/>
    </xf>
    <xf numFmtId="179" fontId="31" fillId="6" borderId="55" xfId="2" applyNumberFormat="1" applyFont="1" applyFill="1" applyBorder="1" applyAlignment="1" applyProtection="1">
      <alignment horizontal="center"/>
    </xf>
    <xf numFmtId="1" fontId="5" fillId="6" borderId="56" xfId="0" applyNumberFormat="1" applyFont="1" applyFill="1" applyBorder="1" applyAlignment="1" applyProtection="1">
      <alignment horizontal="center"/>
    </xf>
    <xf numFmtId="179" fontId="31" fillId="6" borderId="57" xfId="2" applyNumberFormat="1" applyFont="1" applyFill="1" applyBorder="1" applyAlignment="1" applyProtection="1">
      <alignment horizontal="center"/>
    </xf>
    <xf numFmtId="179" fontId="5" fillId="6" borderId="58" xfId="0" applyNumberFormat="1" applyFont="1" applyFill="1" applyBorder="1" applyAlignment="1" applyProtection="1">
      <alignment horizontal="center"/>
    </xf>
    <xf numFmtId="179" fontId="5" fillId="6" borderId="58" xfId="2" applyNumberFormat="1" applyFont="1" applyFill="1" applyBorder="1" applyAlignment="1" applyProtection="1">
      <alignment horizontal="center"/>
    </xf>
    <xf numFmtId="1" fontId="5" fillId="6" borderId="59" xfId="0" applyNumberFormat="1" applyFont="1" applyFill="1" applyBorder="1" applyAlignment="1" applyProtection="1">
      <alignment horizontal="center"/>
    </xf>
    <xf numFmtId="1" fontId="5" fillId="7" borderId="11" xfId="0" applyNumberFormat="1" applyFont="1" applyFill="1" applyBorder="1" applyAlignment="1" applyProtection="1">
      <alignment horizontal="center"/>
      <protection locked="0"/>
    </xf>
    <xf numFmtId="0" fontId="28" fillId="0" borderId="85" xfId="0" applyFont="1" applyFill="1" applyBorder="1" applyAlignment="1">
      <alignment horizontal="center"/>
    </xf>
    <xf numFmtId="0" fontId="28" fillId="0" borderId="86" xfId="0" applyFont="1" applyFill="1" applyBorder="1" applyAlignment="1">
      <alignment horizontal="center"/>
    </xf>
    <xf numFmtId="0" fontId="32" fillId="0" borderId="77" xfId="0" applyFont="1" applyFill="1" applyBorder="1" applyAlignment="1">
      <alignment horizontal="center"/>
    </xf>
    <xf numFmtId="0" fontId="25" fillId="0" borderId="86" xfId="0" applyFont="1" applyFill="1" applyBorder="1" applyAlignment="1"/>
    <xf numFmtId="0" fontId="25" fillId="11" borderId="77" xfId="0" applyFont="1" applyFill="1" applyBorder="1"/>
    <xf numFmtId="0" fontId="32" fillId="11" borderId="77" xfId="0" applyFont="1" applyFill="1" applyBorder="1" applyAlignment="1">
      <alignment horizontal="center"/>
    </xf>
    <xf numFmtId="0" fontId="25" fillId="11" borderId="85" xfId="0" applyFont="1" applyFill="1" applyBorder="1" applyAlignment="1">
      <alignment horizontal="center"/>
    </xf>
    <xf numFmtId="0" fontId="25" fillId="11" borderId="86" xfId="0" applyFont="1" applyFill="1" applyBorder="1" applyAlignment="1">
      <alignment horizontal="center"/>
    </xf>
    <xf numFmtId="0" fontId="25" fillId="0" borderId="0" xfId="0" applyFont="1" applyFill="1"/>
    <xf numFmtId="0" fontId="28" fillId="0" borderId="85" xfId="0" applyFont="1" applyFill="1" applyBorder="1" applyAlignment="1" applyProtection="1">
      <alignment horizontal="center"/>
      <protection locked="0"/>
    </xf>
    <xf numFmtId="0" fontId="28" fillId="0" borderId="86" xfId="0" applyFont="1" applyFill="1" applyBorder="1" applyAlignment="1" applyProtection="1">
      <alignment horizontal="center"/>
      <protection locked="0"/>
    </xf>
    <xf numFmtId="0" fontId="43" fillId="0" borderId="77" xfId="0" applyFont="1" applyFill="1" applyBorder="1" applyAlignment="1">
      <alignment horizontal="center"/>
    </xf>
    <xf numFmtId="0" fontId="28" fillId="0" borderId="77" xfId="0" applyFont="1" applyFill="1" applyBorder="1" applyAlignment="1" applyProtection="1">
      <alignment horizontal="center"/>
      <protection locked="0"/>
    </xf>
    <xf numFmtId="0" fontId="25" fillId="0" borderId="0" xfId="0" applyFont="1" applyBorder="1"/>
    <xf numFmtId="170" fontId="28" fillId="3" borderId="87" xfId="0" applyNumberFormat="1" applyFont="1" applyFill="1" applyBorder="1" applyAlignment="1">
      <alignment horizontal="left"/>
    </xf>
    <xf numFmtId="170" fontId="28" fillId="0" borderId="87" xfId="0" applyNumberFormat="1" applyFont="1" applyFill="1" applyBorder="1" applyAlignment="1">
      <alignment horizontal="center"/>
    </xf>
    <xf numFmtId="170" fontId="28" fillId="3" borderId="88" xfId="0" applyNumberFormat="1" applyFont="1" applyFill="1" applyBorder="1" applyAlignment="1">
      <alignment horizontal="center"/>
    </xf>
    <xf numFmtId="170" fontId="28" fillId="3" borderId="88" xfId="0" applyNumberFormat="1" applyFont="1" applyFill="1" applyBorder="1" applyAlignment="1">
      <alignment horizontal="right"/>
    </xf>
    <xf numFmtId="0" fontId="28" fillId="3" borderId="89" xfId="0" applyNumberFormat="1" applyFont="1" applyFill="1" applyBorder="1" applyAlignment="1">
      <alignment horizontal="center"/>
    </xf>
    <xf numFmtId="0" fontId="25" fillId="9" borderId="90" xfId="0" applyFont="1" applyFill="1" applyBorder="1" applyAlignment="1" applyProtection="1">
      <alignment horizontal="center"/>
      <protection locked="0"/>
    </xf>
    <xf numFmtId="0" fontId="28" fillId="11" borderId="91" xfId="0" applyFont="1" applyFill="1" applyBorder="1" applyAlignment="1" applyProtection="1">
      <alignment horizontal="center"/>
      <protection locked="0"/>
    </xf>
    <xf numFmtId="0" fontId="28" fillId="11" borderId="85" xfId="0" applyFont="1" applyFill="1" applyBorder="1" applyAlignment="1">
      <alignment horizontal="center"/>
    </xf>
    <xf numFmtId="0" fontId="25" fillId="11" borderId="77" xfId="0" applyFont="1" applyFill="1" applyBorder="1" applyAlignment="1">
      <alignment horizontal="center"/>
    </xf>
    <xf numFmtId="0" fontId="32" fillId="11" borderId="90" xfId="0" applyFont="1" applyFill="1" applyBorder="1" applyAlignment="1">
      <alignment horizontal="center"/>
    </xf>
    <xf numFmtId="0" fontId="25" fillId="11" borderId="90" xfId="0" applyFont="1" applyFill="1" applyBorder="1" applyAlignment="1">
      <alignment horizontal="center"/>
    </xf>
    <xf numFmtId="170" fontId="25" fillId="11" borderId="90" xfId="0" applyNumberFormat="1" applyFont="1" applyFill="1" applyBorder="1" applyAlignment="1">
      <alignment horizontal="center"/>
    </xf>
    <xf numFmtId="0" fontId="44" fillId="11" borderId="0" xfId="0" applyFont="1" applyFill="1" applyBorder="1"/>
    <xf numFmtId="0" fontId="44" fillId="11" borderId="86" xfId="0" applyFont="1" applyFill="1" applyBorder="1"/>
    <xf numFmtId="0" fontId="21" fillId="11" borderId="92" xfId="0" applyFont="1" applyFill="1" applyBorder="1" applyAlignment="1">
      <alignment horizontal="center"/>
    </xf>
    <xf numFmtId="0" fontId="3" fillId="11" borderId="92" xfId="0" applyFont="1" applyFill="1" applyBorder="1" applyAlignment="1">
      <alignment horizontal="center"/>
    </xf>
    <xf numFmtId="0" fontId="45" fillId="11" borderId="0" xfId="0" applyFont="1" applyFill="1"/>
    <xf numFmtId="0" fontId="27" fillId="11" borderId="0" xfId="0" applyFont="1" applyFill="1"/>
    <xf numFmtId="0" fontId="44" fillId="11" borderId="0" xfId="0" applyFont="1" applyFill="1"/>
    <xf numFmtId="0" fontId="28" fillId="11" borderId="0" xfId="0" applyFont="1" applyFill="1" applyAlignment="1">
      <alignment horizontal="right"/>
    </xf>
    <xf numFmtId="0" fontId="43" fillId="11" borderId="93" xfId="0" applyFont="1" applyFill="1" applyBorder="1" applyAlignment="1">
      <alignment horizontal="center"/>
    </xf>
    <xf numFmtId="0" fontId="43" fillId="11" borderId="89" xfId="0" applyFont="1" applyFill="1" applyBorder="1" applyAlignment="1">
      <alignment horizontal="center"/>
    </xf>
    <xf numFmtId="0" fontId="32" fillId="11" borderId="93" xfId="0" applyFont="1" applyFill="1" applyBorder="1" applyAlignment="1">
      <alignment horizontal="center"/>
    </xf>
    <xf numFmtId="0" fontId="43" fillId="11" borderId="94" xfId="0" applyFont="1" applyFill="1" applyBorder="1" applyAlignment="1" applyProtection="1">
      <alignment horizontal="center"/>
      <protection locked="0"/>
    </xf>
    <xf numFmtId="0" fontId="26" fillId="3" borderId="0" xfId="0" applyFont="1" applyFill="1" applyBorder="1" applyProtection="1"/>
    <xf numFmtId="0" fontId="36" fillId="4" borderId="0" xfId="0" applyFont="1" applyFill="1" applyBorder="1" applyAlignment="1" applyProtection="1">
      <alignment horizontal="left"/>
    </xf>
    <xf numFmtId="0" fontId="36" fillId="3" borderId="0" xfId="0" applyFont="1" applyFill="1" applyBorder="1" applyAlignment="1" applyProtection="1">
      <alignment horizontal="left"/>
    </xf>
    <xf numFmtId="0" fontId="32" fillId="10" borderId="0" xfId="0" quotePrefix="1" applyFont="1" applyFill="1" applyBorder="1" applyAlignment="1" applyProtection="1">
      <alignment horizontal="left"/>
    </xf>
    <xf numFmtId="0" fontId="32" fillId="0" borderId="0" xfId="0" quotePrefix="1" applyFont="1" applyFill="1" applyBorder="1" applyAlignment="1" applyProtection="1">
      <alignment horizontal="left"/>
    </xf>
    <xf numFmtId="1" fontId="25" fillId="10" borderId="23" xfId="0" applyNumberFormat="1" applyFont="1" applyFill="1" applyBorder="1" applyAlignment="1" applyProtection="1">
      <alignment horizontal="center"/>
    </xf>
    <xf numFmtId="0" fontId="31" fillId="10" borderId="27" xfId="0" quotePrefix="1" applyFont="1" applyFill="1" applyBorder="1" applyAlignment="1" applyProtection="1">
      <alignment horizontal="center"/>
    </xf>
    <xf numFmtId="0" fontId="46" fillId="10" borderId="0" xfId="0" quotePrefix="1" applyFont="1" applyFill="1" applyBorder="1" applyAlignment="1" applyProtection="1">
      <alignment horizontal="left"/>
    </xf>
    <xf numFmtId="0" fontId="21" fillId="8" borderId="60" xfId="2" applyNumberFormat="1" applyFont="1" applyFill="1" applyBorder="1" applyAlignment="1" applyProtection="1">
      <alignment horizontal="center"/>
      <protection locked="0"/>
    </xf>
    <xf numFmtId="0" fontId="25" fillId="10" borderId="61" xfId="0" quotePrefix="1" applyFont="1" applyFill="1" applyBorder="1" applyAlignment="1" applyProtection="1">
      <alignment horizontal="center"/>
    </xf>
    <xf numFmtId="1" fontId="47" fillId="10" borderId="61" xfId="0" quotePrefix="1" applyNumberFormat="1" applyFont="1" applyFill="1" applyBorder="1" applyAlignment="1" applyProtection="1">
      <alignment horizontal="center"/>
    </xf>
    <xf numFmtId="0" fontId="5" fillId="8" borderId="62" xfId="2" applyNumberFormat="1" applyFont="1" applyFill="1" applyBorder="1" applyAlignment="1" applyProtection="1">
      <alignment horizontal="center"/>
      <protection locked="0"/>
    </xf>
    <xf numFmtId="0" fontId="25" fillId="10" borderId="21" xfId="0" applyFont="1" applyFill="1" applyBorder="1" applyProtection="1"/>
    <xf numFmtId="0" fontId="48" fillId="10" borderId="63" xfId="0" applyFont="1" applyFill="1" applyBorder="1" applyAlignment="1" applyProtection="1">
      <alignment horizontal="left"/>
    </xf>
    <xf numFmtId="0" fontId="25" fillId="10" borderId="28" xfId="0" applyFont="1" applyFill="1" applyBorder="1" applyProtection="1"/>
    <xf numFmtId="0" fontId="25" fillId="10" borderId="16" xfId="0" applyFont="1" applyFill="1" applyBorder="1" applyProtection="1"/>
    <xf numFmtId="170" fontId="0" fillId="0" borderId="15" xfId="0" applyNumberFormat="1" applyBorder="1" applyAlignment="1">
      <alignment horizontal="center"/>
    </xf>
    <xf numFmtId="1" fontId="0" fillId="0" borderId="15" xfId="0" applyNumberFormat="1" applyBorder="1" applyAlignment="1">
      <alignment horizontal="center"/>
    </xf>
    <xf numFmtId="16" fontId="24" fillId="0" borderId="15" xfId="0" applyNumberFormat="1" applyFont="1" applyBorder="1" applyAlignment="1">
      <alignment horizontal="center"/>
    </xf>
    <xf numFmtId="0" fontId="49" fillId="5" borderId="0" xfId="0" applyFont="1" applyFill="1" applyAlignment="1">
      <alignment horizontal="center"/>
    </xf>
    <xf numFmtId="179" fontId="5" fillId="6" borderId="2" xfId="2" applyNumberFormat="1" applyFont="1" applyFill="1" applyBorder="1" applyAlignment="1" applyProtection="1">
      <alignment horizontal="center"/>
      <protection locked="0"/>
    </xf>
    <xf numFmtId="0" fontId="50" fillId="0" borderId="0" xfId="0" applyFont="1" applyBorder="1"/>
    <xf numFmtId="0" fontId="34" fillId="6" borderId="77" xfId="0" applyFont="1" applyFill="1" applyBorder="1" applyAlignment="1">
      <alignment horizontal="center"/>
    </xf>
    <xf numFmtId="0" fontId="51" fillId="10" borderId="0" xfId="0" applyFont="1" applyFill="1" applyProtection="1"/>
    <xf numFmtId="0" fontId="39" fillId="10" borderId="0" xfId="0" quotePrefix="1" applyFont="1" applyFill="1" applyAlignment="1" applyProtection="1">
      <alignment horizontal="center"/>
    </xf>
    <xf numFmtId="0" fontId="25" fillId="10" borderId="60" xfId="0" applyFont="1" applyFill="1" applyBorder="1" applyProtection="1"/>
    <xf numFmtId="0" fontId="25" fillId="10" borderId="64" xfId="0" applyFont="1" applyFill="1" applyBorder="1" applyProtection="1"/>
    <xf numFmtId="16" fontId="31" fillId="10" borderId="60" xfId="0" applyNumberFormat="1" applyFont="1" applyFill="1" applyBorder="1" applyAlignment="1" applyProtection="1">
      <alignment horizontal="center"/>
    </xf>
    <xf numFmtId="1" fontId="25" fillId="10" borderId="15" xfId="0" applyNumberFormat="1" applyFont="1" applyFill="1" applyBorder="1" applyAlignment="1" applyProtection="1">
      <alignment horizontal="center"/>
    </xf>
    <xf numFmtId="1" fontId="26" fillId="3" borderId="0" xfId="0" applyNumberFormat="1" applyFont="1" applyFill="1" applyAlignment="1" applyProtection="1">
      <alignment horizontal="center"/>
    </xf>
    <xf numFmtId="0" fontId="51" fillId="10" borderId="0" xfId="0" applyFont="1" applyFill="1" applyAlignment="1" applyProtection="1">
      <alignment horizontal="left"/>
    </xf>
    <xf numFmtId="0" fontId="5" fillId="10" borderId="62" xfId="2" applyNumberFormat="1" applyFont="1" applyFill="1" applyBorder="1" applyAlignment="1" applyProtection="1">
      <alignment horizontal="center"/>
    </xf>
    <xf numFmtId="0" fontId="5" fillId="10" borderId="15" xfId="2" applyNumberFormat="1" applyFont="1" applyFill="1" applyBorder="1" applyAlignment="1" applyProtection="1">
      <alignment horizontal="center"/>
    </xf>
    <xf numFmtId="0" fontId="33" fillId="3" borderId="0" xfId="0" applyFont="1" applyFill="1" applyAlignment="1">
      <alignment vertical="center"/>
    </xf>
    <xf numFmtId="0" fontId="52" fillId="5" borderId="0" xfId="0" applyFont="1" applyFill="1" applyAlignment="1" applyProtection="1">
      <alignment vertical="center"/>
    </xf>
    <xf numFmtId="0" fontId="53" fillId="5" borderId="0" xfId="0" applyFont="1" applyFill="1" applyAlignment="1" applyProtection="1">
      <alignment vertical="center"/>
    </xf>
    <xf numFmtId="170" fontId="54" fillId="5" borderId="0" xfId="0" applyNumberFormat="1" applyFont="1" applyFill="1" applyAlignment="1" applyProtection="1">
      <alignment vertical="center"/>
    </xf>
    <xf numFmtId="0" fontId="54" fillId="5" borderId="0" xfId="0" applyFont="1" applyFill="1" applyAlignment="1" applyProtection="1">
      <alignment vertical="center"/>
    </xf>
    <xf numFmtId="0" fontId="55" fillId="5" borderId="0" xfId="0" applyFont="1" applyFill="1" applyAlignment="1" applyProtection="1">
      <alignment horizontal="center" vertical="center"/>
    </xf>
    <xf numFmtId="1" fontId="55" fillId="5" borderId="0" xfId="0" applyNumberFormat="1" applyFont="1" applyFill="1" applyAlignment="1" applyProtection="1">
      <alignment horizontal="center" vertical="center"/>
    </xf>
    <xf numFmtId="0" fontId="53" fillId="3" borderId="0" xfId="0" applyFont="1" applyFill="1" applyAlignment="1" applyProtection="1">
      <alignment vertical="center"/>
    </xf>
    <xf numFmtId="0" fontId="26" fillId="2" borderId="0" xfId="0" applyFont="1" applyFill="1" applyAlignment="1" applyProtection="1">
      <alignment vertical="center"/>
    </xf>
    <xf numFmtId="0" fontId="26" fillId="2" borderId="0" xfId="0" applyFont="1" applyFill="1" applyAlignment="1">
      <alignment vertical="center"/>
    </xf>
    <xf numFmtId="170" fontId="56" fillId="5" borderId="0" xfId="0" applyNumberFormat="1" applyFont="1" applyFill="1" applyAlignment="1" applyProtection="1">
      <alignment vertical="center"/>
    </xf>
    <xf numFmtId="0" fontId="0" fillId="12" borderId="0" xfId="0" applyFill="1" applyProtection="1"/>
    <xf numFmtId="0" fontId="0" fillId="12" borderId="0" xfId="0" applyFill="1" applyProtection="1">
      <protection locked="0"/>
    </xf>
    <xf numFmtId="0" fontId="38" fillId="12" borderId="0" xfId="0" applyFont="1" applyFill="1" applyProtection="1"/>
    <xf numFmtId="0" fontId="38" fillId="12" borderId="0" xfId="0" applyFont="1" applyFill="1" applyProtection="1">
      <protection locked="0"/>
    </xf>
    <xf numFmtId="0" fontId="57" fillId="5" borderId="0" xfId="0" applyFont="1" applyFill="1" applyAlignment="1">
      <alignment vertical="center"/>
    </xf>
    <xf numFmtId="0" fontId="58" fillId="0" borderId="0" xfId="0" applyFont="1" applyAlignment="1">
      <alignment vertical="center"/>
    </xf>
    <xf numFmtId="0" fontId="59" fillId="3" borderId="0" xfId="0" applyFont="1" applyFill="1" applyAlignment="1">
      <alignment vertical="center" wrapText="1"/>
    </xf>
    <xf numFmtId="0" fontId="38" fillId="0" borderId="0" xfId="0" applyFont="1" applyFill="1" applyProtection="1"/>
    <xf numFmtId="0" fontId="38" fillId="0" borderId="0" xfId="0" applyFont="1" applyFill="1" applyProtection="1">
      <protection locked="0"/>
    </xf>
    <xf numFmtId="0" fontId="25" fillId="4" borderId="0" xfId="0" applyFont="1" applyFill="1" applyAlignment="1">
      <alignment vertical="center"/>
    </xf>
    <xf numFmtId="0" fontId="25" fillId="0" borderId="0" xfId="0" applyFont="1" applyAlignment="1">
      <alignment vertical="center"/>
    </xf>
    <xf numFmtId="0" fontId="60" fillId="4" borderId="0" xfId="0" applyFont="1" applyFill="1" applyAlignment="1">
      <alignment vertical="center"/>
    </xf>
    <xf numFmtId="0" fontId="25" fillId="10" borderId="60" xfId="0" applyFont="1" applyFill="1" applyBorder="1" applyAlignment="1" applyProtection="1">
      <alignment horizontal="left"/>
    </xf>
    <xf numFmtId="0" fontId="25" fillId="10" borderId="61" xfId="0" applyFont="1" applyFill="1" applyBorder="1" applyAlignment="1" applyProtection="1">
      <alignment horizontal="left"/>
    </xf>
    <xf numFmtId="0" fontId="25" fillId="10" borderId="64" xfId="0" applyFont="1" applyFill="1" applyBorder="1" applyAlignment="1" applyProtection="1">
      <alignment horizontal="left"/>
    </xf>
    <xf numFmtId="170" fontId="61" fillId="10" borderId="0" xfId="0" applyNumberFormat="1" applyFont="1" applyFill="1" applyAlignment="1" applyProtection="1">
      <alignment horizontal="center" wrapText="1"/>
    </xf>
    <xf numFmtId="0" fontId="25" fillId="10" borderId="61" xfId="0" quotePrefix="1" applyFont="1" applyFill="1" applyBorder="1" applyAlignment="1" applyProtection="1">
      <alignment horizontal="center"/>
    </xf>
    <xf numFmtId="0" fontId="25" fillId="10" borderId="61" xfId="0" quotePrefix="1" applyFont="1" applyFill="1" applyBorder="1" applyAlignment="1" applyProtection="1">
      <alignment horizontal="left"/>
    </xf>
    <xf numFmtId="0" fontId="25" fillId="10" borderId="64" xfId="0" quotePrefix="1" applyFont="1" applyFill="1" applyBorder="1" applyAlignment="1" applyProtection="1">
      <alignment horizontal="left"/>
    </xf>
    <xf numFmtId="0" fontId="39" fillId="10" borderId="69" xfId="0" applyFont="1" applyFill="1" applyBorder="1" applyAlignment="1" applyProtection="1">
      <alignment horizontal="center"/>
    </xf>
    <xf numFmtId="0" fontId="39" fillId="10" borderId="18" xfId="0" applyFont="1" applyFill="1" applyBorder="1" applyAlignment="1" applyProtection="1">
      <alignment horizontal="center"/>
    </xf>
    <xf numFmtId="0" fontId="39" fillId="10" borderId="19" xfId="0" applyFont="1" applyFill="1" applyBorder="1" applyAlignment="1" applyProtection="1">
      <alignment horizontal="center"/>
    </xf>
    <xf numFmtId="1" fontId="39" fillId="4" borderId="47" xfId="0" applyNumberFormat="1" applyFont="1" applyFill="1" applyBorder="1" applyAlignment="1" applyProtection="1">
      <alignment horizontal="center" vertical="center" wrapText="1"/>
    </xf>
    <xf numFmtId="1" fontId="39" fillId="4" borderId="27" xfId="0" applyNumberFormat="1" applyFont="1" applyFill="1" applyBorder="1" applyAlignment="1" applyProtection="1">
      <alignment horizontal="center" vertical="center" wrapText="1"/>
    </xf>
    <xf numFmtId="0" fontId="10" fillId="10" borderId="21" xfId="0" applyFont="1" applyFill="1" applyBorder="1" applyAlignment="1" applyProtection="1">
      <alignment horizontal="center"/>
    </xf>
    <xf numFmtId="0" fontId="10" fillId="10" borderId="63" xfId="0" applyFont="1" applyFill="1" applyBorder="1" applyAlignment="1" applyProtection="1">
      <alignment horizontal="center"/>
    </xf>
    <xf numFmtId="0" fontId="10" fillId="10" borderId="47" xfId="0" applyFont="1" applyFill="1" applyBorder="1" applyAlignment="1" applyProtection="1">
      <alignment horizontal="center"/>
    </xf>
    <xf numFmtId="0" fontId="39" fillId="10" borderId="74" xfId="0" applyFont="1" applyFill="1" applyBorder="1" applyAlignment="1" applyProtection="1">
      <alignment horizontal="center" vertical="center" wrapText="1"/>
    </xf>
    <xf numFmtId="0" fontId="39" fillId="10" borderId="24" xfId="0" applyFont="1" applyFill="1" applyBorder="1" applyAlignment="1" applyProtection="1">
      <alignment horizontal="center" vertical="center" wrapText="1"/>
    </xf>
    <xf numFmtId="0" fontId="39" fillId="10" borderId="75" xfId="0" applyFont="1" applyFill="1" applyBorder="1" applyAlignment="1" applyProtection="1">
      <alignment horizontal="center" vertical="center" wrapText="1"/>
    </xf>
    <xf numFmtId="0" fontId="39" fillId="10" borderId="26" xfId="0" applyFont="1" applyFill="1" applyBorder="1" applyAlignment="1" applyProtection="1">
      <alignment horizontal="center" vertical="center" wrapText="1"/>
    </xf>
    <xf numFmtId="0" fontId="39" fillId="10" borderId="47" xfId="0" applyFont="1" applyFill="1" applyBorder="1" applyAlignment="1" applyProtection="1">
      <alignment horizontal="center" vertical="center" wrapText="1"/>
    </xf>
    <xf numFmtId="0" fontId="39" fillId="10" borderId="27" xfId="0" applyFont="1" applyFill="1" applyBorder="1" applyAlignment="1" applyProtection="1">
      <alignment horizontal="center" vertical="center" wrapText="1"/>
    </xf>
    <xf numFmtId="0" fontId="39" fillId="2" borderId="0" xfId="0" applyFont="1" applyFill="1" applyBorder="1" applyAlignment="1" applyProtection="1">
      <alignment horizontal="right" wrapText="1"/>
    </xf>
    <xf numFmtId="0" fontId="39" fillId="10" borderId="62" xfId="0" applyFont="1" applyFill="1" applyBorder="1" applyAlignment="1" applyProtection="1">
      <alignment horizontal="center" vertical="center" wrapText="1"/>
    </xf>
    <xf numFmtId="0" fontId="39" fillId="10" borderId="25" xfId="0" applyFont="1" applyFill="1" applyBorder="1" applyAlignment="1" applyProtection="1">
      <alignment horizontal="center" vertical="center" wrapText="1"/>
    </xf>
    <xf numFmtId="0" fontId="39" fillId="10" borderId="22" xfId="0" applyFont="1" applyFill="1" applyBorder="1" applyAlignment="1" applyProtection="1">
      <alignment horizontal="center" vertical="center" wrapText="1"/>
    </xf>
    <xf numFmtId="0" fontId="39" fillId="4" borderId="22" xfId="0" applyFont="1" applyFill="1" applyBorder="1" applyAlignment="1" applyProtection="1">
      <alignment horizontal="center" vertical="center" wrapText="1"/>
    </xf>
    <xf numFmtId="0" fontId="39" fillId="4" borderId="26" xfId="0" applyFont="1" applyFill="1" applyBorder="1" applyAlignment="1" applyProtection="1">
      <alignment horizontal="center" vertical="center" wrapText="1"/>
    </xf>
    <xf numFmtId="0" fontId="39" fillId="10" borderId="20" xfId="0" applyFont="1" applyFill="1" applyBorder="1" applyAlignment="1" applyProtection="1">
      <alignment horizontal="center" vertical="center" wrapText="1"/>
    </xf>
    <xf numFmtId="0" fontId="1" fillId="10" borderId="22" xfId="0" applyFont="1" applyFill="1" applyBorder="1" applyAlignment="1" applyProtection="1">
      <alignment horizontal="center" vertical="center" wrapText="1"/>
    </xf>
    <xf numFmtId="0" fontId="1" fillId="10" borderId="26" xfId="0" applyFont="1" applyFill="1" applyBorder="1" applyAlignment="1" applyProtection="1">
      <alignment horizontal="center" vertical="center" wrapText="1"/>
    </xf>
    <xf numFmtId="0" fontId="39" fillId="10" borderId="65" xfId="0" applyFont="1" applyFill="1" applyBorder="1" applyAlignment="1" applyProtection="1">
      <alignment horizontal="center" vertical="center"/>
    </xf>
    <xf numFmtId="0" fontId="39" fillId="10" borderId="66" xfId="0" applyFont="1" applyFill="1" applyBorder="1" applyAlignment="1" applyProtection="1">
      <alignment horizontal="center" vertical="center"/>
    </xf>
    <xf numFmtId="0" fontId="39" fillId="10" borderId="68" xfId="0" applyFont="1" applyFill="1" applyBorder="1" applyAlignment="1" applyProtection="1">
      <alignment horizontal="center" vertical="center" wrapText="1"/>
    </xf>
    <xf numFmtId="0" fontId="39" fillId="10" borderId="69" xfId="2" applyNumberFormat="1" applyFont="1" applyFill="1" applyBorder="1" applyAlignment="1" applyProtection="1">
      <alignment horizontal="center"/>
    </xf>
    <xf numFmtId="0" fontId="39" fillId="10" borderId="18" xfId="2" applyNumberFormat="1" applyFont="1" applyFill="1" applyBorder="1" applyAlignment="1" applyProtection="1">
      <alignment horizontal="center"/>
    </xf>
    <xf numFmtId="0" fontId="1" fillId="10" borderId="24" xfId="0" applyNumberFormat="1" applyFont="1" applyFill="1" applyBorder="1" applyAlignment="1" applyProtection="1">
      <alignment horizontal="center" vertical="center" wrapText="1"/>
    </xf>
    <xf numFmtId="0" fontId="1" fillId="10" borderId="23" xfId="0" applyFont="1" applyFill="1" applyBorder="1" applyAlignment="1" applyProtection="1">
      <alignment horizontal="center" vertical="center" wrapText="1"/>
    </xf>
    <xf numFmtId="0" fontId="39" fillId="10" borderId="43" xfId="0" applyFont="1" applyFill="1" applyBorder="1" applyAlignment="1" applyProtection="1">
      <alignment horizontal="center"/>
    </xf>
    <xf numFmtId="0" fontId="1" fillId="10" borderId="20" xfId="0" applyFont="1" applyFill="1" applyBorder="1" applyAlignment="1" applyProtection="1">
      <alignment horizontal="center" vertical="center" wrapText="1"/>
    </xf>
    <xf numFmtId="0" fontId="1" fillId="10" borderId="24" xfId="0" applyFont="1" applyFill="1" applyBorder="1" applyAlignment="1" applyProtection="1">
      <alignment horizontal="center" vertical="center" wrapText="1"/>
    </xf>
    <xf numFmtId="0" fontId="39" fillId="10" borderId="65" xfId="0" applyFont="1" applyFill="1" applyBorder="1" applyAlignment="1" applyProtection="1">
      <alignment horizontal="center"/>
    </xf>
    <xf numFmtId="0" fontId="39" fillId="10" borderId="70" xfId="0" applyFont="1" applyFill="1" applyBorder="1" applyAlignment="1" applyProtection="1">
      <alignment horizontal="center"/>
    </xf>
    <xf numFmtId="0" fontId="39" fillId="10" borderId="71" xfId="2" applyNumberFormat="1" applyFont="1" applyFill="1" applyBorder="1" applyAlignment="1" applyProtection="1">
      <alignment horizontal="center"/>
    </xf>
    <xf numFmtId="0" fontId="39" fillId="10" borderId="72" xfId="2" applyNumberFormat="1" applyFont="1" applyFill="1" applyBorder="1" applyAlignment="1" applyProtection="1">
      <alignment horizontal="center"/>
    </xf>
    <xf numFmtId="0" fontId="39" fillId="10" borderId="73" xfId="2" applyNumberFormat="1" applyFont="1" applyFill="1" applyBorder="1" applyAlignment="1" applyProtection="1">
      <alignment horizontal="center"/>
    </xf>
    <xf numFmtId="0" fontId="59" fillId="12" borderId="0" xfId="0" applyFont="1" applyFill="1" applyAlignment="1">
      <alignment vertical="center" wrapText="1"/>
    </xf>
    <xf numFmtId="0" fontId="58" fillId="0" borderId="0" xfId="0" applyFont="1" applyAlignment="1">
      <alignment vertical="center"/>
    </xf>
    <xf numFmtId="0" fontId="1" fillId="10" borderId="25" xfId="0" applyFont="1" applyFill="1" applyBorder="1" applyAlignment="1" applyProtection="1">
      <alignment horizontal="center" vertical="center" wrapText="1"/>
    </xf>
    <xf numFmtId="0" fontId="1" fillId="10" borderId="50" xfId="0" applyFont="1" applyFill="1" applyBorder="1" applyAlignment="1" applyProtection="1">
      <alignment horizontal="center" vertical="center" wrapText="1"/>
    </xf>
    <xf numFmtId="0" fontId="1" fillId="10" borderId="67" xfId="0" applyFont="1" applyFill="1" applyBorder="1" applyAlignment="1" applyProtection="1">
      <alignment horizontal="center" vertical="center" wrapText="1"/>
    </xf>
    <xf numFmtId="0" fontId="1" fillId="10" borderId="49" xfId="0" applyFont="1" applyFill="1" applyBorder="1" applyAlignment="1" applyProtection="1">
      <alignment horizontal="center" vertical="center" wrapText="1"/>
    </xf>
    <xf numFmtId="0" fontId="1" fillId="10" borderId="18" xfId="0" applyFont="1" applyFill="1" applyBorder="1" applyAlignment="1" applyProtection="1">
      <alignment horizontal="center" vertical="center" wrapText="1"/>
    </xf>
    <xf numFmtId="0" fontId="25" fillId="11" borderId="97" xfId="0" applyFont="1" applyFill="1" applyBorder="1" applyAlignment="1">
      <alignment horizontal="center"/>
    </xf>
    <xf numFmtId="0" fontId="25" fillId="11" borderId="98" xfId="0" applyFont="1" applyFill="1" applyBorder="1" applyAlignment="1">
      <alignment horizontal="center"/>
    </xf>
    <xf numFmtId="0" fontId="28" fillId="0" borderId="99" xfId="0" applyFont="1" applyFill="1" applyBorder="1" applyAlignment="1">
      <alignment horizontal="right"/>
    </xf>
    <xf numFmtId="0" fontId="28" fillId="0" borderId="100" xfId="0" applyFont="1" applyFill="1" applyBorder="1" applyAlignment="1">
      <alignment horizontal="right"/>
    </xf>
    <xf numFmtId="0" fontId="25" fillId="11" borderId="85" xfId="0" applyFont="1" applyFill="1" applyBorder="1" applyAlignment="1">
      <alignment horizontal="center"/>
    </xf>
    <xf numFmtId="0" fontId="25" fillId="11" borderId="86" xfId="0" applyFont="1" applyFill="1" applyBorder="1" applyAlignment="1">
      <alignment horizontal="center"/>
    </xf>
    <xf numFmtId="0" fontId="25" fillId="9" borderId="85" xfId="0" applyFont="1" applyFill="1" applyBorder="1" applyAlignment="1" applyProtection="1">
      <alignment horizontal="center"/>
      <protection locked="0"/>
    </xf>
    <xf numFmtId="0" fontId="25" fillId="9" borderId="86" xfId="0" applyFont="1" applyFill="1" applyBorder="1" applyAlignment="1" applyProtection="1">
      <alignment horizontal="center"/>
      <protection locked="0"/>
    </xf>
    <xf numFmtId="0" fontId="28" fillId="11" borderId="85" xfId="0" applyFont="1" applyFill="1" applyBorder="1" applyAlignment="1">
      <alignment horizontal="center"/>
    </xf>
    <xf numFmtId="0" fontId="28" fillId="11" borderId="86" xfId="0" applyFont="1" applyFill="1" applyBorder="1" applyAlignment="1">
      <alignment horizontal="center"/>
    </xf>
    <xf numFmtId="0" fontId="28" fillId="11" borderId="95" xfId="0" applyFont="1" applyFill="1" applyBorder="1" applyAlignment="1">
      <alignment horizontal="center"/>
    </xf>
    <xf numFmtId="0" fontId="28" fillId="11" borderId="96" xfId="0" applyFont="1" applyFill="1" applyBorder="1" applyAlignment="1">
      <alignment horizontal="center"/>
    </xf>
    <xf numFmtId="0" fontId="57" fillId="5" borderId="0" xfId="0" applyFont="1" applyFill="1" applyAlignment="1">
      <alignment horizontal="left" vertical="center"/>
    </xf>
    <xf numFmtId="171" fontId="25" fillId="9" borderId="0" xfId="0" applyNumberFormat="1" applyFont="1" applyFill="1" applyBorder="1" applyAlignment="1" applyProtection="1">
      <alignment horizontal="center"/>
      <protection locked="0"/>
    </xf>
    <xf numFmtId="0" fontId="63" fillId="5" borderId="0" xfId="0" applyFont="1" applyFill="1" applyAlignment="1">
      <alignment horizontal="left" vertical="center"/>
    </xf>
    <xf numFmtId="0" fontId="25" fillId="0" borderId="0" xfId="0" applyFont="1" applyAlignment="1">
      <alignment horizontal="left" wrapText="1"/>
    </xf>
    <xf numFmtId="0" fontId="25" fillId="3" borderId="0" xfId="0" applyFont="1" applyFill="1" applyAlignment="1">
      <alignment horizontal="left" vertical="top" wrapText="1" indent="3"/>
    </xf>
    <xf numFmtId="0" fontId="25" fillId="3" borderId="0" xfId="0" applyFont="1" applyFill="1" applyAlignment="1">
      <alignment horizontal="left" vertical="top" wrapText="1" indent="6"/>
    </xf>
    <xf numFmtId="0" fontId="25" fillId="3" borderId="83" xfId="0" applyFont="1" applyFill="1" applyBorder="1" applyAlignment="1">
      <alignment horizontal="left" vertical="top" wrapText="1"/>
    </xf>
    <xf numFmtId="0" fontId="25" fillId="3" borderId="0" xfId="0" applyFont="1" applyFill="1" applyBorder="1" applyAlignment="1">
      <alignment horizontal="left" vertical="top" wrapText="1"/>
    </xf>
    <xf numFmtId="0" fontId="11" fillId="3" borderId="0" xfId="0" applyFont="1" applyFill="1" applyAlignment="1">
      <alignment horizontal="left" vertical="top" wrapText="1" indent="6"/>
    </xf>
    <xf numFmtId="0" fontId="28" fillId="0" borderId="101" xfId="0" applyFont="1" applyBorder="1" applyAlignment="1">
      <alignment horizontal="center" vertical="center" wrapText="1"/>
    </xf>
    <xf numFmtId="0" fontId="28" fillId="0" borderId="102" xfId="0" applyFont="1" applyBorder="1" applyAlignment="1">
      <alignment horizontal="center" vertical="center" wrapText="1"/>
    </xf>
    <xf numFmtId="0" fontId="28" fillId="0" borderId="103" xfId="0" applyFont="1" applyBorder="1" applyAlignment="1">
      <alignment horizontal="center" vertical="center" wrapText="1"/>
    </xf>
    <xf numFmtId="0" fontId="62" fillId="3" borderId="83" xfId="0" applyFont="1" applyFill="1" applyBorder="1" applyAlignment="1">
      <alignment horizontal="left" vertical="top" wrapText="1"/>
    </xf>
    <xf numFmtId="0" fontId="62" fillId="3" borderId="0" xfId="0" applyFont="1" applyFill="1" applyBorder="1" applyAlignment="1">
      <alignment horizontal="left" vertical="top" wrapText="1"/>
    </xf>
  </cellXfs>
  <cellStyles count="3">
    <cellStyle name="Hyperlink" xfId="1" builtinId="8"/>
    <cellStyle name="Normal" xfId="0" builtinId="0"/>
    <cellStyle name="Normal_SpringPlanner" xfId="2"/>
  </cellStyles>
  <dxfs count="1">
    <dxf>
      <font>
        <color rgb="FFFF0000"/>
      </font>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ZA"/>
              <a:t>Rotation Length</a:t>
            </a:r>
          </a:p>
        </c:rich>
      </c:tx>
      <c:overlay val="0"/>
    </c:title>
    <c:autoTitleDeleted val="0"/>
    <c:plotArea>
      <c:layout/>
      <c:lineChart>
        <c:grouping val="standard"/>
        <c:varyColors val="0"/>
        <c:ser>
          <c:idx val="1"/>
          <c:order val="0"/>
          <c:tx>
            <c:strRef>
              <c:f>'Spring Feed Budget'!$Z$13</c:f>
              <c:strCache>
                <c:ptCount val="1"/>
                <c:pt idx="0">
                  <c:v>Round Length</c:v>
                </c:pt>
              </c:strCache>
            </c:strRef>
          </c:tx>
          <c:spPr>
            <a:ln>
              <a:solidFill>
                <a:schemeClr val="accent1"/>
              </a:solidFill>
            </a:ln>
          </c:spPr>
          <c:marker>
            <c:symbol val="none"/>
          </c:marker>
          <c:cat>
            <c:numRef>
              <c:f>[0]!Dates</c:f>
              <c:numCache>
                <c:formatCode>m/d/yyyy</c:formatCode>
                <c:ptCount val="75"/>
                <c:pt idx="0">
                  <c:v>42566</c:v>
                </c:pt>
                <c:pt idx="1">
                  <c:v>42567</c:v>
                </c:pt>
                <c:pt idx="2">
                  <c:v>42568</c:v>
                </c:pt>
                <c:pt idx="3">
                  <c:v>42569</c:v>
                </c:pt>
                <c:pt idx="4">
                  <c:v>42570</c:v>
                </c:pt>
                <c:pt idx="5">
                  <c:v>42571</c:v>
                </c:pt>
                <c:pt idx="6">
                  <c:v>42572</c:v>
                </c:pt>
                <c:pt idx="7">
                  <c:v>42573</c:v>
                </c:pt>
                <c:pt idx="8">
                  <c:v>42574</c:v>
                </c:pt>
                <c:pt idx="9">
                  <c:v>42575</c:v>
                </c:pt>
                <c:pt idx="10">
                  <c:v>42576</c:v>
                </c:pt>
                <c:pt idx="11">
                  <c:v>42577</c:v>
                </c:pt>
                <c:pt idx="12">
                  <c:v>42578</c:v>
                </c:pt>
                <c:pt idx="13">
                  <c:v>42579</c:v>
                </c:pt>
                <c:pt idx="14">
                  <c:v>42580</c:v>
                </c:pt>
                <c:pt idx="15">
                  <c:v>42581</c:v>
                </c:pt>
                <c:pt idx="16">
                  <c:v>42582</c:v>
                </c:pt>
                <c:pt idx="17">
                  <c:v>42583</c:v>
                </c:pt>
                <c:pt idx="18">
                  <c:v>42584</c:v>
                </c:pt>
                <c:pt idx="19">
                  <c:v>42585</c:v>
                </c:pt>
                <c:pt idx="20">
                  <c:v>42586</c:v>
                </c:pt>
                <c:pt idx="21">
                  <c:v>42587</c:v>
                </c:pt>
                <c:pt idx="22">
                  <c:v>42588</c:v>
                </c:pt>
                <c:pt idx="23">
                  <c:v>42589</c:v>
                </c:pt>
                <c:pt idx="24">
                  <c:v>42590</c:v>
                </c:pt>
                <c:pt idx="25">
                  <c:v>42591</c:v>
                </c:pt>
                <c:pt idx="26">
                  <c:v>42592</c:v>
                </c:pt>
                <c:pt idx="27">
                  <c:v>42593</c:v>
                </c:pt>
                <c:pt idx="28">
                  <c:v>42594</c:v>
                </c:pt>
                <c:pt idx="29">
                  <c:v>42595</c:v>
                </c:pt>
                <c:pt idx="30">
                  <c:v>42596</c:v>
                </c:pt>
                <c:pt idx="31">
                  <c:v>42597</c:v>
                </c:pt>
                <c:pt idx="32">
                  <c:v>42598</c:v>
                </c:pt>
                <c:pt idx="33">
                  <c:v>42599</c:v>
                </c:pt>
                <c:pt idx="34">
                  <c:v>42600</c:v>
                </c:pt>
                <c:pt idx="35">
                  <c:v>42601</c:v>
                </c:pt>
                <c:pt idx="36">
                  <c:v>42602</c:v>
                </c:pt>
                <c:pt idx="37">
                  <c:v>42603</c:v>
                </c:pt>
                <c:pt idx="38">
                  <c:v>42604</c:v>
                </c:pt>
                <c:pt idx="39">
                  <c:v>42605</c:v>
                </c:pt>
                <c:pt idx="40">
                  <c:v>42606</c:v>
                </c:pt>
                <c:pt idx="41">
                  <c:v>42607</c:v>
                </c:pt>
                <c:pt idx="42">
                  <c:v>42608</c:v>
                </c:pt>
                <c:pt idx="43">
                  <c:v>42609</c:v>
                </c:pt>
                <c:pt idx="44">
                  <c:v>42610</c:v>
                </c:pt>
                <c:pt idx="45">
                  <c:v>42611</c:v>
                </c:pt>
                <c:pt idx="46">
                  <c:v>42612</c:v>
                </c:pt>
                <c:pt idx="47">
                  <c:v>42613</c:v>
                </c:pt>
                <c:pt idx="48">
                  <c:v>42614</c:v>
                </c:pt>
                <c:pt idx="49">
                  <c:v>42615</c:v>
                </c:pt>
                <c:pt idx="50">
                  <c:v>42616</c:v>
                </c:pt>
                <c:pt idx="51">
                  <c:v>42617</c:v>
                </c:pt>
                <c:pt idx="52">
                  <c:v>42618</c:v>
                </c:pt>
                <c:pt idx="53">
                  <c:v>42619</c:v>
                </c:pt>
                <c:pt idx="54">
                  <c:v>42620</c:v>
                </c:pt>
                <c:pt idx="55">
                  <c:v>42621</c:v>
                </c:pt>
                <c:pt idx="56">
                  <c:v>42622</c:v>
                </c:pt>
                <c:pt idx="57">
                  <c:v>42623</c:v>
                </c:pt>
                <c:pt idx="58">
                  <c:v>42624</c:v>
                </c:pt>
                <c:pt idx="59">
                  <c:v>42625</c:v>
                </c:pt>
                <c:pt idx="60">
                  <c:v>42626</c:v>
                </c:pt>
                <c:pt idx="61">
                  <c:v>42627</c:v>
                </c:pt>
                <c:pt idx="62">
                  <c:v>42628</c:v>
                </c:pt>
                <c:pt idx="63">
                  <c:v>42629</c:v>
                </c:pt>
                <c:pt idx="64">
                  <c:v>42630</c:v>
                </c:pt>
                <c:pt idx="65">
                  <c:v>42631</c:v>
                </c:pt>
                <c:pt idx="66">
                  <c:v>42632</c:v>
                </c:pt>
                <c:pt idx="67">
                  <c:v>42633</c:v>
                </c:pt>
                <c:pt idx="68">
                  <c:v>42634</c:v>
                </c:pt>
                <c:pt idx="69">
                  <c:v>42635</c:v>
                </c:pt>
                <c:pt idx="70">
                  <c:v>42636</c:v>
                </c:pt>
                <c:pt idx="71">
                  <c:v>42637</c:v>
                </c:pt>
                <c:pt idx="72">
                  <c:v>42638</c:v>
                </c:pt>
                <c:pt idx="73">
                  <c:v>42639</c:v>
                </c:pt>
                <c:pt idx="74">
                  <c:v>42640</c:v>
                </c:pt>
              </c:numCache>
            </c:numRef>
          </c:cat>
          <c:val>
            <c:numRef>
              <c:f>[0]!RoundLength</c:f>
              <c:numCache>
                <c:formatCode>0</c:formatCode>
                <c:ptCount val="75"/>
                <c:pt idx="0">
                  <c:v>100</c:v>
                </c:pt>
                <c:pt idx="1">
                  <c:v>98.946666666666673</c:v>
                </c:pt>
                <c:pt idx="2">
                  <c:v>97.893333333333345</c:v>
                </c:pt>
                <c:pt idx="3">
                  <c:v>96.840000000000018</c:v>
                </c:pt>
                <c:pt idx="4">
                  <c:v>95.78666666666669</c:v>
                </c:pt>
                <c:pt idx="5">
                  <c:v>94.733333333333363</c:v>
                </c:pt>
                <c:pt idx="6">
                  <c:v>93.680000000000035</c:v>
                </c:pt>
                <c:pt idx="7">
                  <c:v>92.626666666666708</c:v>
                </c:pt>
                <c:pt idx="8">
                  <c:v>91.57333333333338</c:v>
                </c:pt>
                <c:pt idx="9">
                  <c:v>90.520000000000053</c:v>
                </c:pt>
                <c:pt idx="10">
                  <c:v>89.466666666666725</c:v>
                </c:pt>
                <c:pt idx="11">
                  <c:v>88.413333333333398</c:v>
                </c:pt>
                <c:pt idx="12">
                  <c:v>87.36000000000007</c:v>
                </c:pt>
                <c:pt idx="13">
                  <c:v>86.306666666666743</c:v>
                </c:pt>
                <c:pt idx="14">
                  <c:v>85.253333333333416</c:v>
                </c:pt>
                <c:pt idx="15">
                  <c:v>84.200000000000088</c:v>
                </c:pt>
                <c:pt idx="16">
                  <c:v>83.146666666666761</c:v>
                </c:pt>
                <c:pt idx="17">
                  <c:v>82.093333333333433</c:v>
                </c:pt>
                <c:pt idx="18">
                  <c:v>81.040000000000106</c:v>
                </c:pt>
                <c:pt idx="19">
                  <c:v>79.986666666666778</c:v>
                </c:pt>
                <c:pt idx="20">
                  <c:v>78.933333333333451</c:v>
                </c:pt>
                <c:pt idx="21">
                  <c:v>77.880000000000123</c:v>
                </c:pt>
                <c:pt idx="22">
                  <c:v>76.826666666666796</c:v>
                </c:pt>
                <c:pt idx="23">
                  <c:v>75.773333333333468</c:v>
                </c:pt>
                <c:pt idx="24">
                  <c:v>74.720000000000141</c:v>
                </c:pt>
                <c:pt idx="25">
                  <c:v>73.666666666666814</c:v>
                </c:pt>
                <c:pt idx="26">
                  <c:v>72.613333333333486</c:v>
                </c:pt>
                <c:pt idx="27">
                  <c:v>71.560000000000159</c:v>
                </c:pt>
                <c:pt idx="28">
                  <c:v>70.506666666666831</c:v>
                </c:pt>
                <c:pt idx="29">
                  <c:v>69.453333333333504</c:v>
                </c:pt>
                <c:pt idx="30">
                  <c:v>68.400000000000176</c:v>
                </c:pt>
                <c:pt idx="31">
                  <c:v>67.346666666666849</c:v>
                </c:pt>
                <c:pt idx="32">
                  <c:v>66.293333333333521</c:v>
                </c:pt>
                <c:pt idx="33">
                  <c:v>65.240000000000194</c:v>
                </c:pt>
                <c:pt idx="34">
                  <c:v>64.186666666666866</c:v>
                </c:pt>
                <c:pt idx="35">
                  <c:v>63.133333333333532</c:v>
                </c:pt>
                <c:pt idx="36">
                  <c:v>62.080000000000197</c:v>
                </c:pt>
                <c:pt idx="37">
                  <c:v>61.026666666666863</c:v>
                </c:pt>
                <c:pt idx="38">
                  <c:v>59.973333333333528</c:v>
                </c:pt>
                <c:pt idx="39">
                  <c:v>58.920000000000194</c:v>
                </c:pt>
                <c:pt idx="40">
                  <c:v>57.866666666666859</c:v>
                </c:pt>
                <c:pt idx="41">
                  <c:v>56.813333333333524</c:v>
                </c:pt>
                <c:pt idx="42">
                  <c:v>55.76000000000019</c:v>
                </c:pt>
                <c:pt idx="43">
                  <c:v>54.706666666666855</c:v>
                </c:pt>
                <c:pt idx="44">
                  <c:v>53.653333333333521</c:v>
                </c:pt>
                <c:pt idx="45">
                  <c:v>52.600000000000186</c:v>
                </c:pt>
                <c:pt idx="46">
                  <c:v>51.546666666666852</c:v>
                </c:pt>
                <c:pt idx="47">
                  <c:v>50.493333333333517</c:v>
                </c:pt>
                <c:pt idx="48">
                  <c:v>49.440000000000182</c:v>
                </c:pt>
                <c:pt idx="49">
                  <c:v>48.386666666666848</c:v>
                </c:pt>
                <c:pt idx="50">
                  <c:v>47.333333333333513</c:v>
                </c:pt>
                <c:pt idx="51">
                  <c:v>46.280000000000179</c:v>
                </c:pt>
                <c:pt idx="52">
                  <c:v>45.226666666666844</c:v>
                </c:pt>
                <c:pt idx="53">
                  <c:v>44.17333333333351</c:v>
                </c:pt>
                <c:pt idx="54">
                  <c:v>43.120000000000175</c:v>
                </c:pt>
                <c:pt idx="55">
                  <c:v>42.066666666666841</c:v>
                </c:pt>
                <c:pt idx="56">
                  <c:v>41.013333333333506</c:v>
                </c:pt>
                <c:pt idx="57">
                  <c:v>39.960000000000171</c:v>
                </c:pt>
                <c:pt idx="58">
                  <c:v>38.906666666666837</c:v>
                </c:pt>
                <c:pt idx="59">
                  <c:v>37.853333333333502</c:v>
                </c:pt>
                <c:pt idx="60">
                  <c:v>36.800000000000168</c:v>
                </c:pt>
                <c:pt idx="61">
                  <c:v>35.746666666666833</c:v>
                </c:pt>
                <c:pt idx="62">
                  <c:v>34.693333333333499</c:v>
                </c:pt>
                <c:pt idx="63">
                  <c:v>33.640000000000164</c:v>
                </c:pt>
                <c:pt idx="64">
                  <c:v>32.586666666666829</c:v>
                </c:pt>
                <c:pt idx="65">
                  <c:v>31.533333333333495</c:v>
                </c:pt>
                <c:pt idx="66">
                  <c:v>30.48000000000016</c:v>
                </c:pt>
                <c:pt idx="67">
                  <c:v>29.426666666666826</c:v>
                </c:pt>
                <c:pt idx="68">
                  <c:v>28.373333333333491</c:v>
                </c:pt>
                <c:pt idx="69">
                  <c:v>27.320000000000157</c:v>
                </c:pt>
                <c:pt idx="70">
                  <c:v>26.266666666666822</c:v>
                </c:pt>
                <c:pt idx="71">
                  <c:v>25.213333333333487</c:v>
                </c:pt>
                <c:pt idx="72">
                  <c:v>24.160000000000153</c:v>
                </c:pt>
                <c:pt idx="73">
                  <c:v>23.106666666666818</c:v>
                </c:pt>
                <c:pt idx="74">
                  <c:v>22.053333333333484</c:v>
                </c:pt>
              </c:numCache>
            </c:numRef>
          </c:val>
          <c:smooth val="0"/>
          <c:extLst>
            <c:ext xmlns:c16="http://schemas.microsoft.com/office/drawing/2014/chart" uri="{C3380CC4-5D6E-409C-BE32-E72D297353CC}">
              <c16:uniqueId val="{00000000-3566-43E3-AB08-4959FC54875A}"/>
            </c:ext>
          </c:extLst>
        </c:ser>
        <c:dLbls>
          <c:showLegendKey val="0"/>
          <c:showVal val="0"/>
          <c:showCatName val="0"/>
          <c:showSerName val="0"/>
          <c:showPercent val="0"/>
          <c:showBubbleSize val="0"/>
        </c:dLbls>
        <c:marker val="1"/>
        <c:smooth val="0"/>
        <c:axId val="112720927"/>
        <c:axId val="1"/>
      </c:lineChart>
      <c:lineChart>
        <c:grouping val="standard"/>
        <c:varyColors val="0"/>
        <c:ser>
          <c:idx val="0"/>
          <c:order val="1"/>
          <c:tx>
            <c:v>Accumulated Area Grazed</c:v>
          </c:tx>
          <c:spPr>
            <a:ln>
              <a:solidFill>
                <a:srgbClr val="FF0000"/>
              </a:solidFill>
            </a:ln>
          </c:spPr>
          <c:marker>
            <c:symbol val="none"/>
          </c:marker>
          <c:val>
            <c:numRef>
              <c:f>[0]!AccArea</c:f>
              <c:numCache>
                <c:formatCode>0.00</c:formatCode>
                <c:ptCount val="75"/>
                <c:pt idx="0">
                  <c:v>1.5</c:v>
                </c:pt>
                <c:pt idx="1">
                  <c:v>3.0159681983560169</c:v>
                </c:pt>
                <c:pt idx="2">
                  <c:v>4.5482482310446573</c:v>
                </c:pt>
                <c:pt idx="3">
                  <c:v>6.0971949472776181</c:v>
                </c:pt>
                <c:pt idx="4">
                  <c:v>7.6631749027341876</c:v>
                </c:pt>
                <c:pt idx="5">
                  <c:v>9.246566880214834</c:v>
                </c:pt>
                <c:pt idx="6">
                  <c:v>10.847762439565816</c:v>
                </c:pt>
                <c:pt idx="7">
                  <c:v>12.467166498871991</c:v>
                </c:pt>
                <c:pt idx="8">
                  <c:v>14.105197949075835</c:v>
                </c:pt>
                <c:pt idx="9">
                  <c:v>15.762290304356435</c:v>
                </c:pt>
                <c:pt idx="10">
                  <c:v>17.438892390794585</c:v>
                </c:pt>
                <c:pt idx="11">
                  <c:v>19.135469076060758</c:v>
                </c:pt>
                <c:pt idx="12">
                  <c:v>20.852502043093725</c:v>
                </c:pt>
                <c:pt idx="13">
                  <c:v>22.590490610991143</c:v>
                </c:pt>
                <c:pt idx="14">
                  <c:v>24.349952606612035</c:v>
                </c:pt>
                <c:pt idx="15">
                  <c:v>26.131425290697543</c:v>
                </c:pt>
                <c:pt idx="16">
                  <c:v>27.935466342653925</c:v>
                </c:pt>
                <c:pt idx="17">
                  <c:v>29.76265490851392</c:v>
                </c:pt>
                <c:pt idx="18">
                  <c:v>31.613592717003552</c:v>
                </c:pt>
                <c:pt idx="19">
                  <c:v>33.488905269095568</c:v>
                </c:pt>
                <c:pt idx="20">
                  <c:v>35.389243106933407</c:v>
                </c:pt>
                <c:pt idx="21">
                  <c:v>37.315283168566687</c:v>
                </c:pt>
                <c:pt idx="22">
                  <c:v>39.267730235557309</c:v>
                </c:pt>
                <c:pt idx="23">
                  <c:v>41.247318481202214</c:v>
                </c:pt>
                <c:pt idx="24">
                  <c:v>43.254813127883153</c:v>
                </c:pt>
                <c:pt idx="25">
                  <c:v>45.291012222905771</c:v>
                </c:pt>
                <c:pt idx="26">
                  <c:v>47.356748543140803</c:v>
                </c:pt>
                <c:pt idx="27">
                  <c:v>49.452891639842868</c:v>
                </c:pt>
                <c:pt idx="28">
                  <c:v>51.580350036212003</c:v>
                </c:pt>
                <c:pt idx="29">
                  <c:v>53.740073591596911</c:v>
                </c:pt>
                <c:pt idx="30">
                  <c:v>55.933056047737253</c:v>
                </c:pt>
                <c:pt idx="31">
                  <c:v>58.16033777412806</c:v>
                </c:pt>
                <c:pt idx="32">
                  <c:v>60.423008731489276</c:v>
                </c:pt>
                <c:pt idx="33">
                  <c:v>62.722211674469037</c:v>
                </c:pt>
                <c:pt idx="34">
                  <c:v>65.059145617136252</c:v>
                </c:pt>
                <c:pt idx="35">
                  <c:v>67.435069587569188</c:v>
                </c:pt>
                <c:pt idx="36">
                  <c:v>69.851306700971236</c:v>
                </c:pt>
                <c:pt idx="37">
                  <c:v>72.309248584300917</c:v>
                </c:pt>
                <c:pt idx="38">
                  <c:v>74.810360189458763</c:v>
                </c:pt>
                <c:pt idx="39">
                  <c:v>77.356185036709263</c:v>
                </c:pt>
                <c:pt idx="40">
                  <c:v>79.948350935326772</c:v>
                </c:pt>
                <c:pt idx="41">
                  <c:v>82.588576234552292</c:v>
                </c:pt>
                <c:pt idx="42">
                  <c:v>85.278676664968359</c:v>
                </c:pt>
                <c:pt idx="43">
                  <c:v>88.020572838499916</c:v>
                </c:pt>
                <c:pt idx="44">
                  <c:v>90.816298484623161</c:v>
                </c:pt>
                <c:pt idx="45">
                  <c:v>93.66800951123912</c:v>
                </c:pt>
                <c:pt idx="46">
                  <c:v>96.577993991321875</c:v>
                </c:pt>
                <c:pt idx="47">
                  <c:v>99.548683191216242</c:v>
                </c:pt>
                <c:pt idx="48">
                  <c:v>102.58266377374051</c:v>
                </c:pt>
                <c:pt idx="49">
                  <c:v>105.68269132954099</c:v>
                </c:pt>
                <c:pt idx="50">
                  <c:v>108.85170541404801</c:v>
                </c:pt>
                <c:pt idx="51">
                  <c:v>112.09284629563832</c:v>
                </c:pt>
                <c:pt idx="52">
                  <c:v>115.40947365412887</c:v>
                </c:pt>
                <c:pt idx="53">
                  <c:v>118.80518750864138</c:v>
                </c:pt>
                <c:pt idx="54">
                  <c:v>122.28385170159127</c:v>
                </c:pt>
                <c:pt idx="55">
                  <c:v>125.84962032282739</c:v>
                </c:pt>
                <c:pt idx="56">
                  <c:v>129.50696752698863</c:v>
                </c:pt>
                <c:pt idx="57">
                  <c:v>133.26072128074236</c:v>
                </c:pt>
                <c:pt idx="58">
                  <c:v>137.1161016782749</c:v>
                </c:pt>
                <c:pt idx="59">
                  <c:v>141.07876458775004</c:v>
                </c:pt>
                <c:pt idx="60">
                  <c:v>145.15485154427176</c:v>
                </c:pt>
                <c:pt idx="61">
                  <c:v>149.3510469937309</c:v>
                </c:pt>
                <c:pt idx="62">
                  <c:v>153.67464422662866</c:v>
                </c:pt>
                <c:pt idx="63">
                  <c:v>158.13362163447644</c:v>
                </c:pt>
                <c:pt idx="64">
                  <c:v>162.73673129077756</c:v>
                </c:pt>
                <c:pt idx="65">
                  <c:v>167.49360232671833</c:v>
                </c:pt>
                <c:pt idx="66">
                  <c:v>172.41486216923798</c:v>
                </c:pt>
                <c:pt idx="67">
                  <c:v>177.5122794778016</c:v>
                </c:pt>
                <c:pt idx="68">
                  <c:v>182.79893361313992</c:v>
                </c:pt>
                <c:pt idx="69">
                  <c:v>188.2894167756582</c:v>
                </c:pt>
                <c:pt idx="70">
                  <c:v>194.00007667413533</c:v>
                </c:pt>
                <c:pt idx="71">
                  <c:v>199.94930988407711</c:v>
                </c:pt>
                <c:pt idx="72">
                  <c:v>206.15791915560024</c:v>
                </c:pt>
                <c:pt idx="73">
                  <c:v>212.64955216194758</c:v>
                </c:pt>
                <c:pt idx="74">
                  <c:v>219.45124502772745</c:v>
                </c:pt>
              </c:numCache>
            </c:numRef>
          </c:val>
          <c:smooth val="0"/>
          <c:extLst>
            <c:ext xmlns:c16="http://schemas.microsoft.com/office/drawing/2014/chart" uri="{C3380CC4-5D6E-409C-BE32-E72D297353CC}">
              <c16:uniqueId val="{00000001-3566-43E3-AB08-4959FC54875A}"/>
            </c:ext>
          </c:extLst>
        </c:ser>
        <c:dLbls>
          <c:showLegendKey val="0"/>
          <c:showVal val="0"/>
          <c:showCatName val="0"/>
          <c:showSerName val="0"/>
          <c:showPercent val="0"/>
          <c:showBubbleSize val="0"/>
        </c:dLbls>
        <c:marker val="1"/>
        <c:smooth val="0"/>
        <c:axId val="3"/>
        <c:axId val="4"/>
      </c:lineChart>
      <c:dateAx>
        <c:axId val="112720927"/>
        <c:scaling>
          <c:orientation val="minMax"/>
        </c:scaling>
        <c:delete val="0"/>
        <c:axPos val="b"/>
        <c:numFmt formatCode="m/d/yyyy" sourceLinked="0"/>
        <c:majorTickMark val="out"/>
        <c:minorTickMark val="none"/>
        <c:tickLblPos val="nextTo"/>
        <c:txPr>
          <a:bodyPr rot="-246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Offset val="100"/>
        <c:baseTimeUnit val="days"/>
        <c:majorUnit val="7"/>
        <c:majorTimeUnit val="days"/>
        <c:minorUnit val="1"/>
        <c:minorTimeUnit val="days"/>
      </c:date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ZA"/>
                  <a:t>Rotation Length (Days)</a:t>
                </a:r>
              </a:p>
            </c:rich>
          </c:tx>
          <c:overlay val="0"/>
        </c:title>
        <c:numFmt formatCode="0" sourceLinked="1"/>
        <c:majorTickMark val="out"/>
        <c:minorTickMark val="none"/>
        <c:tickLblPos val="nextTo"/>
        <c:spPr>
          <a:ln>
            <a:solidFill>
              <a:schemeClr val="tx2"/>
            </a:solidFill>
          </a:ln>
        </c:spPr>
        <c:txPr>
          <a:bodyPr rot="0" vert="horz"/>
          <a:lstStyle/>
          <a:p>
            <a:pPr>
              <a:defRPr sz="1000" b="0" i="0" u="none" strike="noStrike" baseline="0">
                <a:solidFill>
                  <a:srgbClr val="333399"/>
                </a:solidFill>
                <a:latin typeface="Calibri"/>
                <a:ea typeface="Calibri"/>
                <a:cs typeface="Calibri"/>
              </a:defRPr>
            </a:pPr>
            <a:endParaRPr lang="en-US"/>
          </a:p>
        </c:txPr>
        <c:crossAx val="112720927"/>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1000" b="1" i="0" u="none" strike="noStrike" baseline="0">
                    <a:solidFill>
                      <a:srgbClr val="000000"/>
                    </a:solidFill>
                    <a:latin typeface="Calibri"/>
                    <a:ea typeface="Calibri"/>
                    <a:cs typeface="Calibri"/>
                  </a:defRPr>
                </a:pPr>
                <a:r>
                  <a:rPr lang="en-ZA"/>
                  <a:t>Accumulated Area Grazed (ha)</a:t>
                </a:r>
              </a:p>
            </c:rich>
          </c:tx>
          <c:overlay val="0"/>
        </c:title>
        <c:numFmt formatCode="0" sourceLinked="0"/>
        <c:majorTickMark val="out"/>
        <c:minorTickMark val="none"/>
        <c:tickLblPos val="nextTo"/>
        <c:spPr>
          <a:ln>
            <a:solidFill>
              <a:srgbClr val="FF0000"/>
            </a:solidFill>
          </a:ln>
        </c:spPr>
        <c:txPr>
          <a:bodyPr rot="0" vert="horz"/>
          <a:lstStyle/>
          <a:p>
            <a:pPr>
              <a:defRPr sz="1000" b="0" i="0" u="none" strike="noStrike" baseline="0">
                <a:solidFill>
                  <a:srgbClr val="FF0000"/>
                </a:solidFill>
                <a:latin typeface="Calibri"/>
                <a:ea typeface="Calibri"/>
                <a:cs typeface="Calibri"/>
              </a:defRPr>
            </a:pPr>
            <a:endParaRPr lang="en-US"/>
          </a:p>
        </c:txPr>
        <c:crossAx val="3"/>
        <c:crosses val="max"/>
        <c:crossBetween val="between"/>
      </c:valAx>
    </c:plotArea>
    <c:legend>
      <c:legendPos val="b"/>
      <c:overlay val="0"/>
      <c:txPr>
        <a:bodyPr/>
        <a:lstStyle/>
        <a:p>
          <a:pPr>
            <a:defRPr sz="690" b="0" i="0" u="none" strike="noStrike" baseline="0">
              <a:solidFill>
                <a:srgbClr val="000000"/>
              </a:solidFill>
              <a:latin typeface="Calibri"/>
              <a:ea typeface="Calibri"/>
              <a:cs typeface="Calibri"/>
            </a:defRPr>
          </a:pPr>
          <a:endParaRPr lang="en-US"/>
        </a:p>
      </c:txPr>
    </c:legend>
    <c:plotVisOnly val="1"/>
    <c:dispBlanksAs val="span"/>
    <c:showDLblsOverMax val="0"/>
  </c:chart>
  <c:spPr>
    <a:ln>
      <a:solidFill>
        <a:srgbClr val="7BC143"/>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ZA"/>
              <a:t>Average Pasture Cover</a:t>
            </a:r>
          </a:p>
        </c:rich>
      </c:tx>
      <c:overlay val="0"/>
    </c:title>
    <c:autoTitleDeleted val="0"/>
    <c:plotArea>
      <c:layout/>
      <c:lineChart>
        <c:grouping val="standard"/>
        <c:varyColors val="0"/>
        <c:ser>
          <c:idx val="0"/>
          <c:order val="0"/>
          <c:tx>
            <c:v>Target Average Pasture Cover</c:v>
          </c:tx>
          <c:marker>
            <c:symbol val="none"/>
          </c:marker>
          <c:cat>
            <c:numRef>
              <c:f>[0]!Dates</c:f>
              <c:numCache>
                <c:formatCode>m/d/yyyy</c:formatCode>
                <c:ptCount val="75"/>
                <c:pt idx="0">
                  <c:v>42566</c:v>
                </c:pt>
                <c:pt idx="1">
                  <c:v>42567</c:v>
                </c:pt>
                <c:pt idx="2">
                  <c:v>42568</c:v>
                </c:pt>
                <c:pt idx="3">
                  <c:v>42569</c:v>
                </c:pt>
                <c:pt idx="4">
                  <c:v>42570</c:v>
                </c:pt>
                <c:pt idx="5">
                  <c:v>42571</c:v>
                </c:pt>
                <c:pt idx="6">
                  <c:v>42572</c:v>
                </c:pt>
                <c:pt idx="7">
                  <c:v>42573</c:v>
                </c:pt>
                <c:pt idx="8">
                  <c:v>42574</c:v>
                </c:pt>
                <c:pt idx="9">
                  <c:v>42575</c:v>
                </c:pt>
                <c:pt idx="10">
                  <c:v>42576</c:v>
                </c:pt>
                <c:pt idx="11">
                  <c:v>42577</c:v>
                </c:pt>
                <c:pt idx="12">
                  <c:v>42578</c:v>
                </c:pt>
                <c:pt idx="13">
                  <c:v>42579</c:v>
                </c:pt>
                <c:pt idx="14">
                  <c:v>42580</c:v>
                </c:pt>
                <c:pt idx="15">
                  <c:v>42581</c:v>
                </c:pt>
                <c:pt idx="16">
                  <c:v>42582</c:v>
                </c:pt>
                <c:pt idx="17">
                  <c:v>42583</c:v>
                </c:pt>
                <c:pt idx="18">
                  <c:v>42584</c:v>
                </c:pt>
                <c:pt idx="19">
                  <c:v>42585</c:v>
                </c:pt>
                <c:pt idx="20">
                  <c:v>42586</c:v>
                </c:pt>
                <c:pt idx="21">
                  <c:v>42587</c:v>
                </c:pt>
                <c:pt idx="22">
                  <c:v>42588</c:v>
                </c:pt>
                <c:pt idx="23">
                  <c:v>42589</c:v>
                </c:pt>
                <c:pt idx="24">
                  <c:v>42590</c:v>
                </c:pt>
                <c:pt idx="25">
                  <c:v>42591</c:v>
                </c:pt>
                <c:pt idx="26">
                  <c:v>42592</c:v>
                </c:pt>
                <c:pt idx="27">
                  <c:v>42593</c:v>
                </c:pt>
                <c:pt idx="28">
                  <c:v>42594</c:v>
                </c:pt>
                <c:pt idx="29">
                  <c:v>42595</c:v>
                </c:pt>
                <c:pt idx="30">
                  <c:v>42596</c:v>
                </c:pt>
                <c:pt idx="31">
                  <c:v>42597</c:v>
                </c:pt>
                <c:pt idx="32">
                  <c:v>42598</c:v>
                </c:pt>
                <c:pt idx="33">
                  <c:v>42599</c:v>
                </c:pt>
                <c:pt idx="34">
                  <c:v>42600</c:v>
                </c:pt>
                <c:pt idx="35">
                  <c:v>42601</c:v>
                </c:pt>
                <c:pt idx="36">
                  <c:v>42602</c:v>
                </c:pt>
                <c:pt idx="37">
                  <c:v>42603</c:v>
                </c:pt>
                <c:pt idx="38">
                  <c:v>42604</c:v>
                </c:pt>
                <c:pt idx="39">
                  <c:v>42605</c:v>
                </c:pt>
                <c:pt idx="40">
                  <c:v>42606</c:v>
                </c:pt>
                <c:pt idx="41">
                  <c:v>42607</c:v>
                </c:pt>
                <c:pt idx="42">
                  <c:v>42608</c:v>
                </c:pt>
                <c:pt idx="43">
                  <c:v>42609</c:v>
                </c:pt>
                <c:pt idx="44">
                  <c:v>42610</c:v>
                </c:pt>
                <c:pt idx="45">
                  <c:v>42611</c:v>
                </c:pt>
                <c:pt idx="46">
                  <c:v>42612</c:v>
                </c:pt>
                <c:pt idx="47">
                  <c:v>42613</c:v>
                </c:pt>
                <c:pt idx="48">
                  <c:v>42614</c:v>
                </c:pt>
                <c:pt idx="49">
                  <c:v>42615</c:v>
                </c:pt>
                <c:pt idx="50">
                  <c:v>42616</c:v>
                </c:pt>
                <c:pt idx="51">
                  <c:v>42617</c:v>
                </c:pt>
                <c:pt idx="52">
                  <c:v>42618</c:v>
                </c:pt>
                <c:pt idx="53">
                  <c:v>42619</c:v>
                </c:pt>
                <c:pt idx="54">
                  <c:v>42620</c:v>
                </c:pt>
                <c:pt idx="55">
                  <c:v>42621</c:v>
                </c:pt>
                <c:pt idx="56">
                  <c:v>42622</c:v>
                </c:pt>
                <c:pt idx="57">
                  <c:v>42623</c:v>
                </c:pt>
                <c:pt idx="58">
                  <c:v>42624</c:v>
                </c:pt>
                <c:pt idx="59">
                  <c:v>42625</c:v>
                </c:pt>
                <c:pt idx="60">
                  <c:v>42626</c:v>
                </c:pt>
                <c:pt idx="61">
                  <c:v>42627</c:v>
                </c:pt>
                <c:pt idx="62">
                  <c:v>42628</c:v>
                </c:pt>
                <c:pt idx="63">
                  <c:v>42629</c:v>
                </c:pt>
                <c:pt idx="64">
                  <c:v>42630</c:v>
                </c:pt>
                <c:pt idx="65">
                  <c:v>42631</c:v>
                </c:pt>
                <c:pt idx="66">
                  <c:v>42632</c:v>
                </c:pt>
                <c:pt idx="67">
                  <c:v>42633</c:v>
                </c:pt>
                <c:pt idx="68">
                  <c:v>42634</c:v>
                </c:pt>
                <c:pt idx="69">
                  <c:v>42635</c:v>
                </c:pt>
                <c:pt idx="70">
                  <c:v>42636</c:v>
                </c:pt>
                <c:pt idx="71">
                  <c:v>42637</c:v>
                </c:pt>
                <c:pt idx="72">
                  <c:v>42638</c:v>
                </c:pt>
                <c:pt idx="73">
                  <c:v>42639</c:v>
                </c:pt>
                <c:pt idx="74">
                  <c:v>42640</c:v>
                </c:pt>
              </c:numCache>
            </c:numRef>
          </c:cat>
          <c:val>
            <c:numRef>
              <c:f>[0]!TargetAPC</c:f>
              <c:numCache>
                <c:formatCode>0</c:formatCode>
                <c:ptCount val="75"/>
                <c:pt idx="0">
                  <c:v>2500</c:v>
                </c:pt>
                <c:pt idx="1">
                  <c:v>2493.3333333333335</c:v>
                </c:pt>
                <c:pt idx="2">
                  <c:v>2486.666666666667</c:v>
                </c:pt>
                <c:pt idx="3">
                  <c:v>2480.0000000000005</c:v>
                </c:pt>
                <c:pt idx="4">
                  <c:v>2473.3333333333339</c:v>
                </c:pt>
                <c:pt idx="5">
                  <c:v>2466.6666666666674</c:v>
                </c:pt>
                <c:pt idx="6">
                  <c:v>2460.0000000000009</c:v>
                </c:pt>
                <c:pt idx="7">
                  <c:v>2453.3333333333344</c:v>
                </c:pt>
                <c:pt idx="8">
                  <c:v>2446.6666666666679</c:v>
                </c:pt>
                <c:pt idx="9">
                  <c:v>2440.0000000000014</c:v>
                </c:pt>
                <c:pt idx="10">
                  <c:v>2433.3333333333348</c:v>
                </c:pt>
                <c:pt idx="11">
                  <c:v>2426.6666666666683</c:v>
                </c:pt>
                <c:pt idx="12">
                  <c:v>2420.0000000000018</c:v>
                </c:pt>
                <c:pt idx="13">
                  <c:v>2413.3333333333353</c:v>
                </c:pt>
                <c:pt idx="14">
                  <c:v>2406.6666666666688</c:v>
                </c:pt>
                <c:pt idx="15">
                  <c:v>2400.0000000000023</c:v>
                </c:pt>
                <c:pt idx="16">
                  <c:v>2393.3333333333358</c:v>
                </c:pt>
                <c:pt idx="17">
                  <c:v>2386.6666666666692</c:v>
                </c:pt>
                <c:pt idx="18">
                  <c:v>2380.0000000000027</c:v>
                </c:pt>
                <c:pt idx="19">
                  <c:v>2373.3333333333362</c:v>
                </c:pt>
                <c:pt idx="20">
                  <c:v>2366.6666666666697</c:v>
                </c:pt>
                <c:pt idx="21">
                  <c:v>2360.0000000000032</c:v>
                </c:pt>
                <c:pt idx="22">
                  <c:v>2353.3333333333367</c:v>
                </c:pt>
                <c:pt idx="23">
                  <c:v>2346.6666666666702</c:v>
                </c:pt>
                <c:pt idx="24">
                  <c:v>2340.0000000000036</c:v>
                </c:pt>
                <c:pt idx="25">
                  <c:v>2333.3333333333371</c:v>
                </c:pt>
                <c:pt idx="26">
                  <c:v>2326.6666666666706</c:v>
                </c:pt>
                <c:pt idx="27">
                  <c:v>2320.0000000000041</c:v>
                </c:pt>
                <c:pt idx="28">
                  <c:v>2313.3333333333376</c:v>
                </c:pt>
                <c:pt idx="29">
                  <c:v>2306.6666666666711</c:v>
                </c:pt>
                <c:pt idx="30">
                  <c:v>2300.0000000000045</c:v>
                </c:pt>
                <c:pt idx="31">
                  <c:v>2293.333333333338</c:v>
                </c:pt>
                <c:pt idx="32">
                  <c:v>2286.6666666666715</c:v>
                </c:pt>
                <c:pt idx="33">
                  <c:v>2280.000000000005</c:v>
                </c:pt>
                <c:pt idx="34">
                  <c:v>2273.3333333333385</c:v>
                </c:pt>
                <c:pt idx="35">
                  <c:v>2266.666666666672</c:v>
                </c:pt>
                <c:pt idx="36">
                  <c:v>2260.0000000000055</c:v>
                </c:pt>
                <c:pt idx="37">
                  <c:v>2253.3333333333389</c:v>
                </c:pt>
                <c:pt idx="38">
                  <c:v>2246.6666666666724</c:v>
                </c:pt>
                <c:pt idx="39">
                  <c:v>2240.0000000000059</c:v>
                </c:pt>
                <c:pt idx="40">
                  <c:v>2233.3333333333394</c:v>
                </c:pt>
                <c:pt idx="41">
                  <c:v>2226.6666666666729</c:v>
                </c:pt>
                <c:pt idx="42">
                  <c:v>2220.0000000000064</c:v>
                </c:pt>
                <c:pt idx="43">
                  <c:v>2213.3333333333399</c:v>
                </c:pt>
                <c:pt idx="44">
                  <c:v>2206.6666666666733</c:v>
                </c:pt>
                <c:pt idx="45">
                  <c:v>2200.0000000000068</c:v>
                </c:pt>
                <c:pt idx="46">
                  <c:v>2193.3333333333403</c:v>
                </c:pt>
                <c:pt idx="47">
                  <c:v>2186.6666666666738</c:v>
                </c:pt>
                <c:pt idx="48">
                  <c:v>2180.0000000000073</c:v>
                </c:pt>
                <c:pt idx="49">
                  <c:v>2173.3333333333408</c:v>
                </c:pt>
                <c:pt idx="50">
                  <c:v>2166.6666666666742</c:v>
                </c:pt>
                <c:pt idx="51">
                  <c:v>2160.0000000000077</c:v>
                </c:pt>
                <c:pt idx="52">
                  <c:v>2153.3333333333412</c:v>
                </c:pt>
                <c:pt idx="53">
                  <c:v>2146.6666666666747</c:v>
                </c:pt>
                <c:pt idx="54">
                  <c:v>2140.0000000000082</c:v>
                </c:pt>
                <c:pt idx="55">
                  <c:v>2133.3333333333417</c:v>
                </c:pt>
                <c:pt idx="56">
                  <c:v>2126.6666666666752</c:v>
                </c:pt>
                <c:pt idx="57">
                  <c:v>2120.0000000000086</c:v>
                </c:pt>
                <c:pt idx="58">
                  <c:v>2113.3333333333421</c:v>
                </c:pt>
                <c:pt idx="59">
                  <c:v>2106.6666666666756</c:v>
                </c:pt>
                <c:pt idx="60">
                  <c:v>2100.0000000000091</c:v>
                </c:pt>
                <c:pt idx="61">
                  <c:v>2093.3333333333426</c:v>
                </c:pt>
                <c:pt idx="62">
                  <c:v>2086.6666666666761</c:v>
                </c:pt>
                <c:pt idx="63">
                  <c:v>2080.0000000000095</c:v>
                </c:pt>
                <c:pt idx="64">
                  <c:v>2073.333333333343</c:v>
                </c:pt>
                <c:pt idx="65">
                  <c:v>2066.6666666666765</c:v>
                </c:pt>
                <c:pt idx="66">
                  <c:v>2060.00000000001</c:v>
                </c:pt>
                <c:pt idx="67">
                  <c:v>2053.3333333333435</c:v>
                </c:pt>
                <c:pt idx="68">
                  <c:v>2046.6666666666767</c:v>
                </c:pt>
                <c:pt idx="69">
                  <c:v>2040.00000000001</c:v>
                </c:pt>
                <c:pt idx="70">
                  <c:v>2033.3333333333433</c:v>
                </c:pt>
                <c:pt idx="71">
                  <c:v>2026.6666666666765</c:v>
                </c:pt>
                <c:pt idx="72">
                  <c:v>2020.0000000000098</c:v>
                </c:pt>
                <c:pt idx="73">
                  <c:v>2013.333333333343</c:v>
                </c:pt>
                <c:pt idx="74">
                  <c:v>2006.6666666666763</c:v>
                </c:pt>
              </c:numCache>
            </c:numRef>
          </c:val>
          <c:smooth val="0"/>
          <c:extLst>
            <c:ext xmlns:c16="http://schemas.microsoft.com/office/drawing/2014/chart" uri="{C3380CC4-5D6E-409C-BE32-E72D297353CC}">
              <c16:uniqueId val="{00000000-5283-47D2-BE3F-3A3689645B78}"/>
            </c:ext>
          </c:extLst>
        </c:ser>
        <c:ser>
          <c:idx val="2"/>
          <c:order val="1"/>
          <c:tx>
            <c:v>Predicted Average Pasture Cover</c:v>
          </c:tx>
          <c:marker>
            <c:symbol val="none"/>
          </c:marker>
          <c:val>
            <c:numRef>
              <c:f>[0]!PredictedAPC</c:f>
              <c:numCache>
                <c:formatCode>0</c:formatCode>
                <c:ptCount val="75"/>
                <c:pt idx="0">
                  <c:v>2500</c:v>
                </c:pt>
                <c:pt idx="1">
                  <c:v>2489.0666666666666</c:v>
                </c:pt>
                <c:pt idx="2">
                  <c:v>2477.56</c:v>
                </c:pt>
                <c:pt idx="3">
                  <c:v>2465.5466666666666</c:v>
                </c:pt>
                <c:pt idx="4">
                  <c:v>2452.5466666666666</c:v>
                </c:pt>
                <c:pt idx="5">
                  <c:v>2438.9466666666667</c:v>
                </c:pt>
                <c:pt idx="6">
                  <c:v>2424.7466666666669</c:v>
                </c:pt>
                <c:pt idx="7">
                  <c:v>2410.0800000000004</c:v>
                </c:pt>
                <c:pt idx="8">
                  <c:v>2394.9466666666672</c:v>
                </c:pt>
                <c:pt idx="9">
                  <c:v>2378.213333333334</c:v>
                </c:pt>
                <c:pt idx="10">
                  <c:v>2360.8800000000006</c:v>
                </c:pt>
                <c:pt idx="11">
                  <c:v>2343.0133333333338</c:v>
                </c:pt>
                <c:pt idx="12">
                  <c:v>2324.6133333333337</c:v>
                </c:pt>
                <c:pt idx="13">
                  <c:v>2310.6800000000003</c:v>
                </c:pt>
                <c:pt idx="14">
                  <c:v>2296.2133333333336</c:v>
                </c:pt>
                <c:pt idx="15">
                  <c:v>2281.2133333333336</c:v>
                </c:pt>
                <c:pt idx="16">
                  <c:v>2265.6800000000003</c:v>
                </c:pt>
                <c:pt idx="17">
                  <c:v>2249.6133333333337</c:v>
                </c:pt>
                <c:pt idx="18">
                  <c:v>2233.0133333333338</c:v>
                </c:pt>
                <c:pt idx="19">
                  <c:v>2212.5466666666671</c:v>
                </c:pt>
                <c:pt idx="20">
                  <c:v>2191.5466666666671</c:v>
                </c:pt>
                <c:pt idx="21">
                  <c:v>2169.1800000000003</c:v>
                </c:pt>
                <c:pt idx="22">
                  <c:v>2151.4133333333334</c:v>
                </c:pt>
                <c:pt idx="23">
                  <c:v>2133.2466666666669</c:v>
                </c:pt>
                <c:pt idx="24">
                  <c:v>2114.6800000000003</c:v>
                </c:pt>
                <c:pt idx="25">
                  <c:v>2095.7133333333336</c:v>
                </c:pt>
                <c:pt idx="26">
                  <c:v>2076.3466666666668</c:v>
                </c:pt>
                <c:pt idx="27">
                  <c:v>2056.58</c:v>
                </c:pt>
                <c:pt idx="28">
                  <c:v>2036.48</c:v>
                </c:pt>
                <c:pt idx="29">
                  <c:v>2021.0466666666666</c:v>
                </c:pt>
                <c:pt idx="30">
                  <c:v>2003.98</c:v>
                </c:pt>
                <c:pt idx="31">
                  <c:v>1986.5466666666666</c:v>
                </c:pt>
                <c:pt idx="32">
                  <c:v>1968.8133333333333</c:v>
                </c:pt>
                <c:pt idx="33">
                  <c:v>1947.4466666666667</c:v>
                </c:pt>
                <c:pt idx="34">
                  <c:v>1925.78</c:v>
                </c:pt>
                <c:pt idx="35">
                  <c:v>1903.8133333333333</c:v>
                </c:pt>
                <c:pt idx="36">
                  <c:v>1881.5466666666666</c:v>
                </c:pt>
                <c:pt idx="37">
                  <c:v>1863.98</c:v>
                </c:pt>
                <c:pt idx="38">
                  <c:v>1846.1133333333335</c:v>
                </c:pt>
                <c:pt idx="39">
                  <c:v>1827.9466666666667</c:v>
                </c:pt>
                <c:pt idx="40">
                  <c:v>1809.48</c:v>
                </c:pt>
                <c:pt idx="41">
                  <c:v>1790.7133333333334</c:v>
                </c:pt>
                <c:pt idx="42">
                  <c:v>1771.6466666666668</c:v>
                </c:pt>
                <c:pt idx="43">
                  <c:v>1752.2800000000002</c:v>
                </c:pt>
                <c:pt idx="44">
                  <c:v>1732.6133333333335</c:v>
                </c:pt>
                <c:pt idx="45">
                  <c:v>1712.6466666666668</c:v>
                </c:pt>
                <c:pt idx="46">
                  <c:v>1692.38</c:v>
                </c:pt>
                <c:pt idx="47">
                  <c:v>1676.8133333333335</c:v>
                </c:pt>
                <c:pt idx="48">
                  <c:v>1660.9466666666669</c:v>
                </c:pt>
                <c:pt idx="49">
                  <c:v>1644.7800000000002</c:v>
                </c:pt>
                <c:pt idx="50">
                  <c:v>1628.3133333333335</c:v>
                </c:pt>
                <c:pt idx="51">
                  <c:v>1611.5466666666669</c:v>
                </c:pt>
                <c:pt idx="52">
                  <c:v>1596.1133333333335</c:v>
                </c:pt>
                <c:pt idx="53">
                  <c:v>1580.3466666666668</c:v>
                </c:pt>
                <c:pt idx="54">
                  <c:v>1564.2466666666669</c:v>
                </c:pt>
                <c:pt idx="55">
                  <c:v>1547.8133333333335</c:v>
                </c:pt>
                <c:pt idx="56">
                  <c:v>1531.0466666666669</c:v>
                </c:pt>
                <c:pt idx="57">
                  <c:v>1513.9466666666669</c:v>
                </c:pt>
                <c:pt idx="58">
                  <c:v>1496.5133333333335</c:v>
                </c:pt>
                <c:pt idx="59">
                  <c:v>1478.9133333333336</c:v>
                </c:pt>
                <c:pt idx="60">
                  <c:v>1466.146666666667</c:v>
                </c:pt>
                <c:pt idx="61">
                  <c:v>1453.2133333333336</c:v>
                </c:pt>
                <c:pt idx="62">
                  <c:v>1440.1133333333337</c:v>
                </c:pt>
                <c:pt idx="63">
                  <c:v>1426.846666666667</c:v>
                </c:pt>
                <c:pt idx="64">
                  <c:v>1413.4133333333336</c:v>
                </c:pt>
                <c:pt idx="65">
                  <c:v>1399.8133333333337</c:v>
                </c:pt>
                <c:pt idx="66">
                  <c:v>1386.1133333333337</c:v>
                </c:pt>
                <c:pt idx="67">
                  <c:v>1372.3133333333337</c:v>
                </c:pt>
                <c:pt idx="68">
                  <c:v>1363.4133333333336</c:v>
                </c:pt>
                <c:pt idx="69">
                  <c:v>1354.4133333333336</c:v>
                </c:pt>
                <c:pt idx="70">
                  <c:v>1341.4800000000002</c:v>
                </c:pt>
                <c:pt idx="71">
                  <c:v>1328.5466666666669</c:v>
                </c:pt>
                <c:pt idx="72">
                  <c:v>1315.6133333333335</c:v>
                </c:pt>
                <c:pt idx="73">
                  <c:v>1307.68</c:v>
                </c:pt>
                <c:pt idx="74">
                  <c:v>1299.7466666666667</c:v>
                </c:pt>
              </c:numCache>
            </c:numRef>
          </c:val>
          <c:smooth val="0"/>
          <c:extLst>
            <c:ext xmlns:c16="http://schemas.microsoft.com/office/drawing/2014/chart" uri="{C3380CC4-5D6E-409C-BE32-E72D297353CC}">
              <c16:uniqueId val="{00000001-5283-47D2-BE3F-3A3689645B78}"/>
            </c:ext>
          </c:extLst>
        </c:ser>
        <c:ser>
          <c:idx val="1"/>
          <c:order val="2"/>
          <c:tx>
            <c:strRef>
              <c:f>'Spring Feed Budget'!$W$12:$W$14</c:f>
              <c:strCache>
                <c:ptCount val="3"/>
                <c:pt idx="0">
                  <c:v>Actual Average Pasture Cover</c:v>
                </c:pt>
              </c:strCache>
            </c:strRef>
          </c:tx>
          <c:cat>
            <c:numRef>
              <c:f>[0]!Dates</c:f>
              <c:numCache>
                <c:formatCode>m/d/yyyy</c:formatCode>
                <c:ptCount val="75"/>
                <c:pt idx="0">
                  <c:v>42566</c:v>
                </c:pt>
                <c:pt idx="1">
                  <c:v>42567</c:v>
                </c:pt>
                <c:pt idx="2">
                  <c:v>42568</c:v>
                </c:pt>
                <c:pt idx="3">
                  <c:v>42569</c:v>
                </c:pt>
                <c:pt idx="4">
                  <c:v>42570</c:v>
                </c:pt>
                <c:pt idx="5">
                  <c:v>42571</c:v>
                </c:pt>
                <c:pt idx="6">
                  <c:v>42572</c:v>
                </c:pt>
                <c:pt idx="7">
                  <c:v>42573</c:v>
                </c:pt>
                <c:pt idx="8">
                  <c:v>42574</c:v>
                </c:pt>
                <c:pt idx="9">
                  <c:v>42575</c:v>
                </c:pt>
                <c:pt idx="10">
                  <c:v>42576</c:v>
                </c:pt>
                <c:pt idx="11">
                  <c:v>42577</c:v>
                </c:pt>
                <c:pt idx="12">
                  <c:v>42578</c:v>
                </c:pt>
                <c:pt idx="13">
                  <c:v>42579</c:v>
                </c:pt>
                <c:pt idx="14">
                  <c:v>42580</c:v>
                </c:pt>
                <c:pt idx="15">
                  <c:v>42581</c:v>
                </c:pt>
                <c:pt idx="16">
                  <c:v>42582</c:v>
                </c:pt>
                <c:pt idx="17">
                  <c:v>42583</c:v>
                </c:pt>
                <c:pt idx="18">
                  <c:v>42584</c:v>
                </c:pt>
                <c:pt idx="19">
                  <c:v>42585</c:v>
                </c:pt>
                <c:pt idx="20">
                  <c:v>42586</c:v>
                </c:pt>
                <c:pt idx="21">
                  <c:v>42587</c:v>
                </c:pt>
                <c:pt idx="22">
                  <c:v>42588</c:v>
                </c:pt>
                <c:pt idx="23">
                  <c:v>42589</c:v>
                </c:pt>
                <c:pt idx="24">
                  <c:v>42590</c:v>
                </c:pt>
                <c:pt idx="25">
                  <c:v>42591</c:v>
                </c:pt>
                <c:pt idx="26">
                  <c:v>42592</c:v>
                </c:pt>
                <c:pt idx="27">
                  <c:v>42593</c:v>
                </c:pt>
                <c:pt idx="28">
                  <c:v>42594</c:v>
                </c:pt>
                <c:pt idx="29">
                  <c:v>42595</c:v>
                </c:pt>
                <c:pt idx="30">
                  <c:v>42596</c:v>
                </c:pt>
                <c:pt idx="31">
                  <c:v>42597</c:v>
                </c:pt>
                <c:pt idx="32">
                  <c:v>42598</c:v>
                </c:pt>
                <c:pt idx="33">
                  <c:v>42599</c:v>
                </c:pt>
                <c:pt idx="34">
                  <c:v>42600</c:v>
                </c:pt>
                <c:pt idx="35">
                  <c:v>42601</c:v>
                </c:pt>
                <c:pt idx="36">
                  <c:v>42602</c:v>
                </c:pt>
                <c:pt idx="37">
                  <c:v>42603</c:v>
                </c:pt>
                <c:pt idx="38">
                  <c:v>42604</c:v>
                </c:pt>
                <c:pt idx="39">
                  <c:v>42605</c:v>
                </c:pt>
                <c:pt idx="40">
                  <c:v>42606</c:v>
                </c:pt>
                <c:pt idx="41">
                  <c:v>42607</c:v>
                </c:pt>
                <c:pt idx="42">
                  <c:v>42608</c:v>
                </c:pt>
                <c:pt idx="43">
                  <c:v>42609</c:v>
                </c:pt>
                <c:pt idx="44">
                  <c:v>42610</c:v>
                </c:pt>
                <c:pt idx="45">
                  <c:v>42611</c:v>
                </c:pt>
                <c:pt idx="46">
                  <c:v>42612</c:v>
                </c:pt>
                <c:pt idx="47">
                  <c:v>42613</c:v>
                </c:pt>
                <c:pt idx="48">
                  <c:v>42614</c:v>
                </c:pt>
                <c:pt idx="49">
                  <c:v>42615</c:v>
                </c:pt>
                <c:pt idx="50">
                  <c:v>42616</c:v>
                </c:pt>
                <c:pt idx="51">
                  <c:v>42617</c:v>
                </c:pt>
                <c:pt idx="52">
                  <c:v>42618</c:v>
                </c:pt>
                <c:pt idx="53">
                  <c:v>42619</c:v>
                </c:pt>
                <c:pt idx="54">
                  <c:v>42620</c:v>
                </c:pt>
                <c:pt idx="55">
                  <c:v>42621</c:v>
                </c:pt>
                <c:pt idx="56">
                  <c:v>42622</c:v>
                </c:pt>
                <c:pt idx="57">
                  <c:v>42623</c:v>
                </c:pt>
                <c:pt idx="58">
                  <c:v>42624</c:v>
                </c:pt>
                <c:pt idx="59">
                  <c:v>42625</c:v>
                </c:pt>
                <c:pt idx="60">
                  <c:v>42626</c:v>
                </c:pt>
                <c:pt idx="61">
                  <c:v>42627</c:v>
                </c:pt>
                <c:pt idx="62">
                  <c:v>42628</c:v>
                </c:pt>
                <c:pt idx="63">
                  <c:v>42629</c:v>
                </c:pt>
                <c:pt idx="64">
                  <c:v>42630</c:v>
                </c:pt>
                <c:pt idx="65">
                  <c:v>42631</c:v>
                </c:pt>
                <c:pt idx="66">
                  <c:v>42632</c:v>
                </c:pt>
                <c:pt idx="67">
                  <c:v>42633</c:v>
                </c:pt>
                <c:pt idx="68">
                  <c:v>42634</c:v>
                </c:pt>
                <c:pt idx="69">
                  <c:v>42635</c:v>
                </c:pt>
                <c:pt idx="70">
                  <c:v>42636</c:v>
                </c:pt>
                <c:pt idx="71">
                  <c:v>42637</c:v>
                </c:pt>
                <c:pt idx="72">
                  <c:v>42638</c:v>
                </c:pt>
                <c:pt idx="73">
                  <c:v>42639</c:v>
                </c:pt>
                <c:pt idx="74">
                  <c:v>42640</c:v>
                </c:pt>
              </c:numCache>
            </c:numRef>
          </c:cat>
          <c:val>
            <c:numRef>
              <c:f>[0]!ActualAPC</c:f>
              <c:numCache>
                <c:formatCode>0</c:formatCode>
                <c:ptCount val="75"/>
              </c:numCache>
            </c:numRef>
          </c:val>
          <c:smooth val="0"/>
          <c:extLst>
            <c:ext xmlns:c16="http://schemas.microsoft.com/office/drawing/2014/chart" uri="{C3380CC4-5D6E-409C-BE32-E72D297353CC}">
              <c16:uniqueId val="{00000002-5283-47D2-BE3F-3A3689645B78}"/>
            </c:ext>
          </c:extLst>
        </c:ser>
        <c:dLbls>
          <c:showLegendKey val="0"/>
          <c:showVal val="0"/>
          <c:showCatName val="0"/>
          <c:showSerName val="0"/>
          <c:showPercent val="0"/>
          <c:showBubbleSize val="0"/>
        </c:dLbls>
        <c:smooth val="0"/>
        <c:axId val="1354731071"/>
        <c:axId val="1"/>
      </c:lineChart>
      <c:dateAx>
        <c:axId val="1354731071"/>
        <c:scaling>
          <c:orientation val="minMax"/>
        </c:scaling>
        <c:delete val="0"/>
        <c:axPos val="b"/>
        <c:numFmt formatCode="dd/mm/yy;@" sourceLinked="0"/>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Offset val="100"/>
        <c:baseTimeUnit val="days"/>
        <c:majorUnit val="7"/>
        <c:majorTimeUnit val="days"/>
        <c:minorUnit val="1"/>
        <c:minorTimeUnit val="days"/>
      </c:dateAx>
      <c:valAx>
        <c:axId val="1"/>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354731071"/>
        <c:crosses val="autoZero"/>
        <c:crossBetween val="between"/>
      </c:valAx>
    </c:plotArea>
    <c:legend>
      <c:legendPos val="b"/>
      <c:overlay val="0"/>
      <c:txPr>
        <a:bodyPr/>
        <a:lstStyle/>
        <a:p>
          <a:pPr>
            <a:defRPr sz="690" b="0" i="0" u="none" strike="noStrike" baseline="0">
              <a:solidFill>
                <a:srgbClr val="000000"/>
              </a:solidFill>
              <a:latin typeface="Calibri"/>
              <a:ea typeface="Calibri"/>
              <a:cs typeface="Calibri"/>
            </a:defRPr>
          </a:pPr>
          <a:endParaRPr lang="en-US"/>
        </a:p>
      </c:txPr>
    </c:legend>
    <c:plotVisOnly val="1"/>
    <c:dispBlanksAs val="span"/>
    <c:showDLblsOverMax val="0"/>
  </c:chart>
  <c:spPr>
    <a:ln>
      <a:solidFill>
        <a:srgbClr val="7BC143"/>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27</xdr:col>
      <xdr:colOff>257175</xdr:colOff>
      <xdr:row>0</xdr:row>
      <xdr:rowOff>0</xdr:rowOff>
    </xdr:from>
    <xdr:to>
      <xdr:col>29</xdr:col>
      <xdr:colOff>876300</xdr:colOff>
      <xdr:row>0</xdr:row>
      <xdr:rowOff>514350</xdr:rowOff>
    </xdr:to>
    <xdr:pic>
      <xdr:nvPicPr>
        <xdr:cNvPr id="1480" name="Picture 4" descr="flicks.jpg">
          <a:extLst>
            <a:ext uri="{FF2B5EF4-FFF2-40B4-BE49-F238E27FC236}">
              <a16:creationId xmlns:a16="http://schemas.microsoft.com/office/drawing/2014/main" id="{E39FF307-CB90-432C-BA1B-40FE44758D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82775" y="0"/>
          <a:ext cx="13716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85725</xdr:colOff>
      <xdr:row>111</xdr:row>
      <xdr:rowOff>142875</xdr:rowOff>
    </xdr:from>
    <xdr:to>
      <xdr:col>29</xdr:col>
      <xdr:colOff>714375</xdr:colOff>
      <xdr:row>114</xdr:row>
      <xdr:rowOff>19050</xdr:rowOff>
    </xdr:to>
    <xdr:pic>
      <xdr:nvPicPr>
        <xdr:cNvPr id="1481" name="Picture 5" descr="rgb small.jpg">
          <a:extLst>
            <a:ext uri="{FF2B5EF4-FFF2-40B4-BE49-F238E27FC236}">
              <a16:creationId xmlns:a16="http://schemas.microsoft.com/office/drawing/2014/main" id="{75D916F1-46BD-4D18-AC7F-4D7B9E297B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13935075" y="20926425"/>
          <a:ext cx="18573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85725</xdr:colOff>
      <xdr:row>35</xdr:row>
      <xdr:rowOff>133350</xdr:rowOff>
    </xdr:from>
    <xdr:to>
      <xdr:col>13</xdr:col>
      <xdr:colOff>600075</xdr:colOff>
      <xdr:row>67</xdr:row>
      <xdr:rowOff>161925</xdr:rowOff>
    </xdr:to>
    <xdr:graphicFrame macro="">
      <xdr:nvGraphicFramePr>
        <xdr:cNvPr id="559266" name="Chart 1">
          <a:extLst>
            <a:ext uri="{FF2B5EF4-FFF2-40B4-BE49-F238E27FC236}">
              <a16:creationId xmlns:a16="http://schemas.microsoft.com/office/drawing/2014/main" id="{EEF46830-EB64-4F59-8B3D-D180E082E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xdr:row>
      <xdr:rowOff>9525</xdr:rowOff>
    </xdr:from>
    <xdr:to>
      <xdr:col>13</xdr:col>
      <xdr:colOff>600075</xdr:colOff>
      <xdr:row>35</xdr:row>
      <xdr:rowOff>152400</xdr:rowOff>
    </xdr:to>
    <xdr:graphicFrame macro="">
      <xdr:nvGraphicFramePr>
        <xdr:cNvPr id="559267" name="Chart 1">
          <a:extLst>
            <a:ext uri="{FF2B5EF4-FFF2-40B4-BE49-F238E27FC236}">
              <a16:creationId xmlns:a16="http://schemas.microsoft.com/office/drawing/2014/main" id="{CC93B724-95E3-431D-AD08-E1EFE71612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409575</xdr:colOff>
      <xdr:row>38</xdr:row>
      <xdr:rowOff>95250</xdr:rowOff>
    </xdr:from>
    <xdr:to>
      <xdr:col>10</xdr:col>
      <xdr:colOff>295275</xdr:colOff>
      <xdr:row>42</xdr:row>
      <xdr:rowOff>171450</xdr:rowOff>
    </xdr:to>
    <xdr:grpSp>
      <xdr:nvGrpSpPr>
        <xdr:cNvPr id="559268" name="Group 1">
          <a:extLst>
            <a:ext uri="{FF2B5EF4-FFF2-40B4-BE49-F238E27FC236}">
              <a16:creationId xmlns:a16="http://schemas.microsoft.com/office/drawing/2014/main" id="{AE13FB28-35A0-44DA-BE38-F229D38E5294}"/>
            </a:ext>
          </a:extLst>
        </xdr:cNvPr>
        <xdr:cNvGrpSpPr>
          <a:grpSpLocks/>
        </xdr:cNvGrpSpPr>
      </xdr:nvGrpSpPr>
      <xdr:grpSpPr bwMode="auto">
        <a:xfrm>
          <a:off x="2960158" y="7842250"/>
          <a:ext cx="2954867" cy="838200"/>
          <a:chOff x="4829174" y="5372100"/>
          <a:chExt cx="2928938" cy="838200"/>
        </a:xfrm>
      </xdr:grpSpPr>
      <xdr:sp macro="" textlink="">
        <xdr:nvSpPr>
          <xdr:cNvPr id="4" name="Rectangle 3">
            <a:extLst>
              <a:ext uri="{FF2B5EF4-FFF2-40B4-BE49-F238E27FC236}">
                <a16:creationId xmlns:a16="http://schemas.microsoft.com/office/drawing/2014/main" id="{516D1A86-0D62-4190-87FF-F71E50881DAA}"/>
              </a:ext>
            </a:extLst>
          </xdr:cNvPr>
          <xdr:cNvSpPr/>
        </xdr:nvSpPr>
        <xdr:spPr>
          <a:xfrm>
            <a:off x="4981327" y="5410200"/>
            <a:ext cx="2681690" cy="8001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ZA"/>
          </a:p>
        </xdr:txBody>
      </xdr:sp>
      <xdr:sp macro="" textlink="">
        <xdr:nvSpPr>
          <xdr:cNvPr id="8" name="TextBox 1">
            <a:extLst>
              <a:ext uri="{FF2B5EF4-FFF2-40B4-BE49-F238E27FC236}">
                <a16:creationId xmlns:a16="http://schemas.microsoft.com/office/drawing/2014/main" id="{8D8B5796-BA77-45EA-AA5D-E980368EE771}"/>
              </a:ext>
            </a:extLst>
          </xdr:cNvPr>
          <xdr:cNvSpPr txBox="1"/>
        </xdr:nvSpPr>
        <xdr:spPr>
          <a:xfrm>
            <a:off x="4829174" y="5372100"/>
            <a:ext cx="1607112" cy="790575"/>
          </a:xfrm>
          <a:prstGeom prst="rect">
            <a:avLst/>
          </a:prstGeom>
          <a:noFill/>
        </xdr:spPr>
        <xdr:txBody>
          <a:bodyPr wrap="square" rtlCol="0"/>
          <a:lstStyle/>
          <a:p>
            <a:pPr algn="r"/>
            <a:r>
              <a:rPr lang="en-US" sz="1100" b="1" i="0" u="none" strike="noStrike">
                <a:solidFill>
                  <a:srgbClr val="000000"/>
                </a:solidFill>
                <a:latin typeface="Calibri"/>
              </a:rPr>
              <a:t>Aim to have grazed:</a:t>
            </a:r>
            <a:r>
              <a:rPr lang="en-US" sz="1100" b="0" i="0" u="none" strike="noStrike">
                <a:solidFill>
                  <a:srgbClr val="000000"/>
                </a:solidFill>
                <a:latin typeface="Calibri"/>
              </a:rPr>
              <a:t>
Quarter of the farm by 
Half the farm by
All the farm by</a:t>
            </a:r>
          </a:p>
        </xdr:txBody>
      </xdr:sp>
      <xdr:sp macro="" textlink="'Graph Data'!A3">
        <xdr:nvSpPr>
          <xdr:cNvPr id="9" name="TextBox 1">
            <a:extLst>
              <a:ext uri="{FF2B5EF4-FFF2-40B4-BE49-F238E27FC236}">
                <a16:creationId xmlns:a16="http://schemas.microsoft.com/office/drawing/2014/main" id="{EBBA678A-FEE6-4B34-9228-623F89DEB7FC}"/>
              </a:ext>
            </a:extLst>
          </xdr:cNvPr>
          <xdr:cNvSpPr txBox="1"/>
        </xdr:nvSpPr>
        <xdr:spPr>
          <a:xfrm>
            <a:off x="6350700" y="5715000"/>
            <a:ext cx="1407412" cy="228600"/>
          </a:xfrm>
          <a:prstGeom prst="rect">
            <a:avLst/>
          </a:prstGeom>
          <a:no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202C6944-2849-4D5B-8189-AF771AE84E7C}" type="TxLink">
              <a:rPr lang="en-US" sz="1100" b="0" i="0" u="none" strike="noStrike">
                <a:solidFill>
                  <a:srgbClr val="000000"/>
                </a:solidFill>
                <a:latin typeface="Calibri"/>
              </a:rPr>
              <a:t>23 August 2016</a:t>
            </a:fld>
            <a:endParaRPr lang="en-NZ" sz="1100"/>
          </a:p>
        </xdr:txBody>
      </xdr:sp>
      <xdr:sp macro="" textlink="'Graph Data'!A4">
        <xdr:nvSpPr>
          <xdr:cNvPr id="10" name="TextBox 1">
            <a:extLst>
              <a:ext uri="{FF2B5EF4-FFF2-40B4-BE49-F238E27FC236}">
                <a16:creationId xmlns:a16="http://schemas.microsoft.com/office/drawing/2014/main" id="{152A9BD7-FE46-45C7-B4DE-6F0C85D4DEC0}"/>
              </a:ext>
            </a:extLst>
          </xdr:cNvPr>
          <xdr:cNvSpPr txBox="1"/>
        </xdr:nvSpPr>
        <xdr:spPr>
          <a:xfrm>
            <a:off x="6350700" y="5895975"/>
            <a:ext cx="1407412" cy="228600"/>
          </a:xfrm>
          <a:prstGeom prst="rect">
            <a:avLst/>
          </a:prstGeom>
          <a:no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8F4F2721-ACC8-404C-9519-E8A1681E65CE}" type="TxLink">
              <a:rPr lang="en-US" sz="1100" b="0" i="0" u="none" strike="noStrike">
                <a:solidFill>
                  <a:srgbClr val="000000"/>
                </a:solidFill>
                <a:latin typeface="Calibri"/>
              </a:rPr>
              <a:t>15 September 2016</a:t>
            </a:fld>
            <a:endParaRPr lang="en-NZ" sz="1100"/>
          </a:p>
        </xdr:txBody>
      </xdr:sp>
      <xdr:sp macro="" textlink="'Graph Data'!A2">
        <xdr:nvSpPr>
          <xdr:cNvPr id="11" name="TextBox 1">
            <a:extLst>
              <a:ext uri="{FF2B5EF4-FFF2-40B4-BE49-F238E27FC236}">
                <a16:creationId xmlns:a16="http://schemas.microsoft.com/office/drawing/2014/main" id="{E3F278CA-C833-49F9-B997-EB1522DE539C}"/>
              </a:ext>
            </a:extLst>
          </xdr:cNvPr>
          <xdr:cNvSpPr txBox="1"/>
        </xdr:nvSpPr>
        <xdr:spPr>
          <a:xfrm>
            <a:off x="6350700" y="5524500"/>
            <a:ext cx="1407412" cy="228600"/>
          </a:xfrm>
          <a:prstGeom prst="rect">
            <a:avLst/>
          </a:prstGeom>
          <a:no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47D11702-1D51-40C7-80F9-6F46039DDDA0}" type="TxLink">
              <a:rPr lang="en-US" sz="1100" b="0" i="0" u="none" strike="noStrike">
                <a:solidFill>
                  <a:srgbClr val="000000"/>
                </a:solidFill>
                <a:latin typeface="Calibri"/>
              </a:rPr>
              <a:t>6 August 2016</a:t>
            </a:fld>
            <a:endParaRPr lang="en-NZ" sz="1100"/>
          </a:p>
        </xdr:txBody>
      </xdr:sp>
    </xdr:grpSp>
    <xdr:clientData/>
  </xdr:twoCellAnchor>
  <xdr:twoCellAnchor editAs="oneCell">
    <xdr:from>
      <xdr:col>11</xdr:col>
      <xdr:colOff>476250</xdr:colOff>
      <xdr:row>0</xdr:row>
      <xdr:rowOff>123825</xdr:rowOff>
    </xdr:from>
    <xdr:to>
      <xdr:col>14</xdr:col>
      <xdr:colOff>9525</xdr:colOff>
      <xdr:row>1</xdr:row>
      <xdr:rowOff>514350</xdr:rowOff>
    </xdr:to>
    <xdr:pic>
      <xdr:nvPicPr>
        <xdr:cNvPr id="559269" name="Picture 4" descr="flicks.jpg">
          <a:extLst>
            <a:ext uri="{FF2B5EF4-FFF2-40B4-BE49-F238E27FC236}">
              <a16:creationId xmlns:a16="http://schemas.microsoft.com/office/drawing/2014/main" id="{6A8748EB-3FD9-4F16-8075-DB64719A6B5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00" y="123825"/>
          <a:ext cx="13620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485775</xdr:colOff>
      <xdr:row>69</xdr:row>
      <xdr:rowOff>47625</xdr:rowOff>
    </xdr:from>
    <xdr:to>
      <xdr:col>13</xdr:col>
      <xdr:colOff>514350</xdr:colOff>
      <xdr:row>72</xdr:row>
      <xdr:rowOff>142875</xdr:rowOff>
    </xdr:to>
    <xdr:pic>
      <xdr:nvPicPr>
        <xdr:cNvPr id="559270" name="Picture 5" descr="rgb small.jpg">
          <a:extLst>
            <a:ext uri="{FF2B5EF4-FFF2-40B4-BE49-F238E27FC236}">
              <a16:creationId xmlns:a16="http://schemas.microsoft.com/office/drawing/2014/main" id="{F0C6205C-9256-46E9-AAAE-2FE9377A637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14075" r="8057" b="19260"/>
        <a:stretch>
          <a:fillRect/>
        </a:stretch>
      </xdr:blipFill>
      <xdr:spPr bwMode="auto">
        <a:xfrm>
          <a:off x="6067425" y="13696950"/>
          <a:ext cx="18573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131884</xdr:colOff>
      <xdr:row>2</xdr:row>
      <xdr:rowOff>153865</xdr:rowOff>
    </xdr:from>
    <xdr:to>
      <xdr:col>9</xdr:col>
      <xdr:colOff>293075</xdr:colOff>
      <xdr:row>2</xdr:row>
      <xdr:rowOff>153865</xdr:rowOff>
    </xdr:to>
    <xdr:cxnSp macro="">
      <xdr:nvCxnSpPr>
        <xdr:cNvPr id="3" name="Straight Arrow Connector 2">
          <a:extLst>
            <a:ext uri="{FF2B5EF4-FFF2-40B4-BE49-F238E27FC236}">
              <a16:creationId xmlns:a16="http://schemas.microsoft.com/office/drawing/2014/main" id="{6F730CE5-FE30-427C-A703-72D49F071C75}"/>
            </a:ext>
          </a:extLst>
        </xdr:cNvPr>
        <xdr:cNvCxnSpPr/>
      </xdr:nvCxnSpPr>
      <xdr:spPr>
        <a:xfrm flipH="1">
          <a:off x="5704009" y="953965"/>
          <a:ext cx="389791" cy="0"/>
        </a:xfrm>
        <a:prstGeom prst="straightConnector1">
          <a:avLst/>
        </a:prstGeom>
        <a:ln w="25400">
          <a:solidFill>
            <a:srgbClr val="92D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145073</xdr:colOff>
      <xdr:row>5</xdr:row>
      <xdr:rowOff>101112</xdr:rowOff>
    </xdr:from>
    <xdr:to>
      <xdr:col>9</xdr:col>
      <xdr:colOff>306264</xdr:colOff>
      <xdr:row>5</xdr:row>
      <xdr:rowOff>101112</xdr:rowOff>
    </xdr:to>
    <xdr:cxnSp macro="">
      <xdr:nvCxnSpPr>
        <xdr:cNvPr id="4" name="Straight Arrow Connector 3">
          <a:extLst>
            <a:ext uri="{FF2B5EF4-FFF2-40B4-BE49-F238E27FC236}">
              <a16:creationId xmlns:a16="http://schemas.microsoft.com/office/drawing/2014/main" id="{0206F9D3-E15C-40F2-8937-F115526FA785}"/>
            </a:ext>
          </a:extLst>
        </xdr:cNvPr>
        <xdr:cNvCxnSpPr/>
      </xdr:nvCxnSpPr>
      <xdr:spPr>
        <a:xfrm flipH="1">
          <a:off x="6439856" y="1484308"/>
          <a:ext cx="393104" cy="0"/>
        </a:xfrm>
        <a:prstGeom prst="straightConnector1">
          <a:avLst/>
        </a:prstGeom>
        <a:ln w="25400">
          <a:solidFill>
            <a:srgbClr val="92D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150934</xdr:colOff>
      <xdr:row>7</xdr:row>
      <xdr:rowOff>106973</xdr:rowOff>
    </xdr:from>
    <xdr:to>
      <xdr:col>9</xdr:col>
      <xdr:colOff>312125</xdr:colOff>
      <xdr:row>7</xdr:row>
      <xdr:rowOff>106973</xdr:rowOff>
    </xdr:to>
    <xdr:cxnSp macro="">
      <xdr:nvCxnSpPr>
        <xdr:cNvPr id="5" name="Straight Arrow Connector 4">
          <a:extLst>
            <a:ext uri="{FF2B5EF4-FFF2-40B4-BE49-F238E27FC236}">
              <a16:creationId xmlns:a16="http://schemas.microsoft.com/office/drawing/2014/main" id="{A29953CF-82DE-4786-B60C-345E3A57665E}"/>
            </a:ext>
          </a:extLst>
        </xdr:cNvPr>
        <xdr:cNvCxnSpPr/>
      </xdr:nvCxnSpPr>
      <xdr:spPr>
        <a:xfrm flipH="1">
          <a:off x="5723059" y="1811948"/>
          <a:ext cx="389791" cy="0"/>
        </a:xfrm>
        <a:prstGeom prst="straightConnector1">
          <a:avLst/>
        </a:prstGeom>
        <a:ln w="25400">
          <a:solidFill>
            <a:srgbClr val="92D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159727</xdr:colOff>
      <xdr:row>19</xdr:row>
      <xdr:rowOff>79131</xdr:rowOff>
    </xdr:from>
    <xdr:to>
      <xdr:col>9</xdr:col>
      <xdr:colOff>320918</xdr:colOff>
      <xdr:row>19</xdr:row>
      <xdr:rowOff>79131</xdr:rowOff>
    </xdr:to>
    <xdr:cxnSp macro="">
      <xdr:nvCxnSpPr>
        <xdr:cNvPr id="9" name="Straight Arrow Connector 8">
          <a:extLst>
            <a:ext uri="{FF2B5EF4-FFF2-40B4-BE49-F238E27FC236}">
              <a16:creationId xmlns:a16="http://schemas.microsoft.com/office/drawing/2014/main" id="{6B5F12FA-9415-46D2-A128-50CDC9F7FC4E}"/>
            </a:ext>
          </a:extLst>
        </xdr:cNvPr>
        <xdr:cNvCxnSpPr/>
      </xdr:nvCxnSpPr>
      <xdr:spPr>
        <a:xfrm flipH="1">
          <a:off x="5731852" y="3736731"/>
          <a:ext cx="389791" cy="0"/>
        </a:xfrm>
        <a:prstGeom prst="straightConnector1">
          <a:avLst/>
        </a:prstGeom>
        <a:ln w="25400">
          <a:solidFill>
            <a:srgbClr val="92D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140805</xdr:colOff>
      <xdr:row>15</xdr:row>
      <xdr:rowOff>82826</xdr:rowOff>
    </xdr:from>
    <xdr:to>
      <xdr:col>9</xdr:col>
      <xdr:colOff>301996</xdr:colOff>
      <xdr:row>15</xdr:row>
      <xdr:rowOff>82826</xdr:rowOff>
    </xdr:to>
    <xdr:cxnSp macro="">
      <xdr:nvCxnSpPr>
        <xdr:cNvPr id="7" name="Straight Arrow Connector 6">
          <a:extLst>
            <a:ext uri="{FF2B5EF4-FFF2-40B4-BE49-F238E27FC236}">
              <a16:creationId xmlns:a16="http://schemas.microsoft.com/office/drawing/2014/main" id="{598277C2-1B0D-407D-B7E6-A9B564A98410}"/>
            </a:ext>
          </a:extLst>
        </xdr:cNvPr>
        <xdr:cNvCxnSpPr/>
      </xdr:nvCxnSpPr>
      <xdr:spPr>
        <a:xfrm flipH="1">
          <a:off x="6435588" y="3130826"/>
          <a:ext cx="393104" cy="0"/>
        </a:xfrm>
        <a:prstGeom prst="straightConnector1">
          <a:avLst/>
        </a:prstGeom>
        <a:ln w="25400">
          <a:solidFill>
            <a:srgbClr val="92D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942975</xdr:colOff>
      <xdr:row>1</xdr:row>
      <xdr:rowOff>0</xdr:rowOff>
    </xdr:from>
    <xdr:to>
      <xdr:col>7</xdr:col>
      <xdr:colOff>1181100</xdr:colOff>
      <xdr:row>1</xdr:row>
      <xdr:rowOff>514350</xdr:rowOff>
    </xdr:to>
    <xdr:pic>
      <xdr:nvPicPr>
        <xdr:cNvPr id="562294" name="Picture 4" descr="flicks.jpg">
          <a:extLst>
            <a:ext uri="{FF2B5EF4-FFF2-40B4-BE49-F238E27FC236}">
              <a16:creationId xmlns:a16="http://schemas.microsoft.com/office/drawing/2014/main" id="{22EF56F5-6F8F-47AD-A8DC-B67585C121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15100" y="19050"/>
          <a:ext cx="13716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304800</xdr:colOff>
      <xdr:row>34</xdr:row>
      <xdr:rowOff>47625</xdr:rowOff>
    </xdr:from>
    <xdr:to>
      <xdr:col>7</xdr:col>
      <xdr:colOff>1038225</xdr:colOff>
      <xdr:row>37</xdr:row>
      <xdr:rowOff>142875</xdr:rowOff>
    </xdr:to>
    <xdr:pic>
      <xdr:nvPicPr>
        <xdr:cNvPr id="562295" name="Picture 5" descr="rgb small.jpg">
          <a:extLst>
            <a:ext uri="{FF2B5EF4-FFF2-40B4-BE49-F238E27FC236}">
              <a16:creationId xmlns:a16="http://schemas.microsoft.com/office/drawing/2014/main" id="{31124D7C-5745-4748-BFCB-4A51398100D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5876925" y="6096000"/>
          <a:ext cx="18669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17</xdr:row>
      <xdr:rowOff>142875</xdr:rowOff>
    </xdr:from>
    <xdr:to>
      <xdr:col>6</xdr:col>
      <xdr:colOff>1304925</xdr:colOff>
      <xdr:row>24</xdr:row>
      <xdr:rowOff>238125</xdr:rowOff>
    </xdr:to>
    <xdr:pic>
      <xdr:nvPicPr>
        <xdr:cNvPr id="563554" name="Picture 1">
          <a:extLst>
            <a:ext uri="{FF2B5EF4-FFF2-40B4-BE49-F238E27FC236}">
              <a16:creationId xmlns:a16="http://schemas.microsoft.com/office/drawing/2014/main" id="{8111C3AA-531B-48E7-9106-5C3C750932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95675"/>
          <a:ext cx="8391525"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248478</xdr:colOff>
      <xdr:row>18</xdr:row>
      <xdr:rowOff>182216</xdr:rowOff>
    </xdr:from>
    <xdr:to>
      <xdr:col>2</xdr:col>
      <xdr:colOff>2882347</xdr:colOff>
      <xdr:row>21</xdr:row>
      <xdr:rowOff>149086</xdr:rowOff>
    </xdr:to>
    <xdr:sp macro="" textlink="">
      <xdr:nvSpPr>
        <xdr:cNvPr id="4" name="Rectangle 3">
          <a:extLst>
            <a:ext uri="{FF2B5EF4-FFF2-40B4-BE49-F238E27FC236}">
              <a16:creationId xmlns:a16="http://schemas.microsoft.com/office/drawing/2014/main" id="{CA462C32-4F3A-4D75-AA14-72ED83A4ACC2}"/>
            </a:ext>
          </a:extLst>
        </xdr:cNvPr>
        <xdr:cNvSpPr/>
      </xdr:nvSpPr>
      <xdr:spPr>
        <a:xfrm>
          <a:off x="248478" y="3735455"/>
          <a:ext cx="4837043" cy="73715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ZA"/>
        </a:p>
      </xdr:txBody>
    </xdr:sp>
    <xdr:clientData/>
  </xdr:twoCellAnchor>
  <xdr:twoCellAnchor>
    <xdr:from>
      <xdr:col>1</xdr:col>
      <xdr:colOff>115955</xdr:colOff>
      <xdr:row>22</xdr:row>
      <xdr:rowOff>0</xdr:rowOff>
    </xdr:from>
    <xdr:to>
      <xdr:col>2</xdr:col>
      <xdr:colOff>480390</xdr:colOff>
      <xdr:row>24</xdr:row>
      <xdr:rowOff>231913</xdr:rowOff>
    </xdr:to>
    <xdr:sp macro="" textlink="">
      <xdr:nvSpPr>
        <xdr:cNvPr id="16" name="Rectangle 15">
          <a:extLst>
            <a:ext uri="{FF2B5EF4-FFF2-40B4-BE49-F238E27FC236}">
              <a16:creationId xmlns:a16="http://schemas.microsoft.com/office/drawing/2014/main" id="{C5845A20-E03C-4341-85CD-3CB560A025C1}"/>
            </a:ext>
          </a:extLst>
        </xdr:cNvPr>
        <xdr:cNvSpPr/>
      </xdr:nvSpPr>
      <xdr:spPr>
        <a:xfrm>
          <a:off x="438977" y="4580283"/>
          <a:ext cx="2244587" cy="74543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ZA"/>
        </a:p>
      </xdr:txBody>
    </xdr:sp>
    <xdr:clientData/>
  </xdr:twoCellAnchor>
  <xdr:twoCellAnchor>
    <xdr:from>
      <xdr:col>2</xdr:col>
      <xdr:colOff>488675</xdr:colOff>
      <xdr:row>21</xdr:row>
      <xdr:rowOff>248478</xdr:rowOff>
    </xdr:from>
    <xdr:to>
      <xdr:col>3</xdr:col>
      <xdr:colOff>530087</xdr:colOff>
      <xdr:row>24</xdr:row>
      <xdr:rowOff>235226</xdr:rowOff>
    </xdr:to>
    <xdr:sp macro="" textlink="">
      <xdr:nvSpPr>
        <xdr:cNvPr id="17" name="Rectangle 16">
          <a:extLst>
            <a:ext uri="{FF2B5EF4-FFF2-40B4-BE49-F238E27FC236}">
              <a16:creationId xmlns:a16="http://schemas.microsoft.com/office/drawing/2014/main" id="{F377FA33-18DB-41EC-A505-444E42AAC6A9}"/>
            </a:ext>
          </a:extLst>
        </xdr:cNvPr>
        <xdr:cNvSpPr/>
      </xdr:nvSpPr>
      <xdr:spPr>
        <a:xfrm>
          <a:off x="2691849" y="4572000"/>
          <a:ext cx="3064564" cy="75703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ZA"/>
        </a:p>
      </xdr:txBody>
    </xdr:sp>
    <xdr:clientData/>
  </xdr:twoCellAnchor>
  <xdr:twoCellAnchor>
    <xdr:from>
      <xdr:col>2</xdr:col>
      <xdr:colOff>679174</xdr:colOff>
      <xdr:row>17</xdr:row>
      <xdr:rowOff>190502</xdr:rowOff>
    </xdr:from>
    <xdr:to>
      <xdr:col>2</xdr:col>
      <xdr:colOff>927651</xdr:colOff>
      <xdr:row>18</xdr:row>
      <xdr:rowOff>190501</xdr:rowOff>
    </xdr:to>
    <xdr:sp macro="" textlink="">
      <xdr:nvSpPr>
        <xdr:cNvPr id="5" name="TextBox 4">
          <a:extLst>
            <a:ext uri="{FF2B5EF4-FFF2-40B4-BE49-F238E27FC236}">
              <a16:creationId xmlns:a16="http://schemas.microsoft.com/office/drawing/2014/main" id="{6D776F4D-1B23-4F05-8A9C-7145ACF64788}"/>
            </a:ext>
          </a:extLst>
        </xdr:cNvPr>
        <xdr:cNvSpPr txBox="1"/>
      </xdr:nvSpPr>
      <xdr:spPr>
        <a:xfrm>
          <a:off x="2882348" y="3486980"/>
          <a:ext cx="248477" cy="25676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200">
              <a:solidFill>
                <a:srgbClr val="FF0000"/>
              </a:solidFill>
            </a:rPr>
            <a:t>1</a:t>
          </a:r>
        </a:p>
      </xdr:txBody>
    </xdr:sp>
    <xdr:clientData/>
  </xdr:twoCellAnchor>
  <xdr:twoCellAnchor>
    <xdr:from>
      <xdr:col>6</xdr:col>
      <xdr:colOff>546652</xdr:colOff>
      <xdr:row>21</xdr:row>
      <xdr:rowOff>240195</xdr:rowOff>
    </xdr:from>
    <xdr:to>
      <xdr:col>6</xdr:col>
      <xdr:colOff>1292088</xdr:colOff>
      <xdr:row>24</xdr:row>
      <xdr:rowOff>231911</xdr:rowOff>
    </xdr:to>
    <xdr:sp macro="" textlink="">
      <xdr:nvSpPr>
        <xdr:cNvPr id="26" name="Rectangle 25">
          <a:extLst>
            <a:ext uri="{FF2B5EF4-FFF2-40B4-BE49-F238E27FC236}">
              <a16:creationId xmlns:a16="http://schemas.microsoft.com/office/drawing/2014/main" id="{0064E8BB-C9B1-48E1-82E0-518DE0CD7E85}"/>
            </a:ext>
          </a:extLst>
        </xdr:cNvPr>
        <xdr:cNvSpPr/>
      </xdr:nvSpPr>
      <xdr:spPr>
        <a:xfrm>
          <a:off x="7644848" y="4563717"/>
          <a:ext cx="745436" cy="761998"/>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ZA"/>
        </a:p>
      </xdr:txBody>
    </xdr:sp>
    <xdr:clientData/>
  </xdr:twoCellAnchor>
  <xdr:twoCellAnchor>
    <xdr:from>
      <xdr:col>1</xdr:col>
      <xdr:colOff>894522</xdr:colOff>
      <xdr:row>25</xdr:row>
      <xdr:rowOff>57978</xdr:rowOff>
    </xdr:from>
    <xdr:to>
      <xdr:col>1</xdr:col>
      <xdr:colOff>1142999</xdr:colOff>
      <xdr:row>26</xdr:row>
      <xdr:rowOff>57977</xdr:rowOff>
    </xdr:to>
    <xdr:sp macro="" textlink="">
      <xdr:nvSpPr>
        <xdr:cNvPr id="28" name="TextBox 27">
          <a:extLst>
            <a:ext uri="{FF2B5EF4-FFF2-40B4-BE49-F238E27FC236}">
              <a16:creationId xmlns:a16="http://schemas.microsoft.com/office/drawing/2014/main" id="{655E6B58-C8BB-4327-8F84-9B22FF38EDE2}"/>
            </a:ext>
          </a:extLst>
        </xdr:cNvPr>
        <xdr:cNvSpPr txBox="1"/>
      </xdr:nvSpPr>
      <xdr:spPr>
        <a:xfrm>
          <a:off x="1217544" y="4555435"/>
          <a:ext cx="248477" cy="256759"/>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200">
              <a:solidFill>
                <a:srgbClr val="FF0000"/>
              </a:solidFill>
            </a:rPr>
            <a:t>2</a:t>
          </a:r>
        </a:p>
      </xdr:txBody>
    </xdr:sp>
    <xdr:clientData/>
  </xdr:twoCellAnchor>
  <xdr:twoCellAnchor>
    <xdr:from>
      <xdr:col>2</xdr:col>
      <xdr:colOff>1717813</xdr:colOff>
      <xdr:row>25</xdr:row>
      <xdr:rowOff>77856</xdr:rowOff>
    </xdr:from>
    <xdr:to>
      <xdr:col>2</xdr:col>
      <xdr:colOff>1966290</xdr:colOff>
      <xdr:row>26</xdr:row>
      <xdr:rowOff>77855</xdr:rowOff>
    </xdr:to>
    <xdr:sp macro="" textlink="">
      <xdr:nvSpPr>
        <xdr:cNvPr id="30" name="TextBox 29">
          <a:extLst>
            <a:ext uri="{FF2B5EF4-FFF2-40B4-BE49-F238E27FC236}">
              <a16:creationId xmlns:a16="http://schemas.microsoft.com/office/drawing/2014/main" id="{B4975FD2-394C-4B97-9A96-190D7FC660C7}"/>
            </a:ext>
          </a:extLst>
        </xdr:cNvPr>
        <xdr:cNvSpPr txBox="1"/>
      </xdr:nvSpPr>
      <xdr:spPr>
        <a:xfrm>
          <a:off x="3920987" y="4575313"/>
          <a:ext cx="248477" cy="256759"/>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200">
              <a:solidFill>
                <a:srgbClr val="FF0000"/>
              </a:solidFill>
            </a:rPr>
            <a:t>3</a:t>
          </a:r>
        </a:p>
      </xdr:txBody>
    </xdr:sp>
    <xdr:clientData/>
  </xdr:twoCellAnchor>
  <xdr:twoCellAnchor>
    <xdr:from>
      <xdr:col>4</xdr:col>
      <xdr:colOff>621195</xdr:colOff>
      <xdr:row>25</xdr:row>
      <xdr:rowOff>57977</xdr:rowOff>
    </xdr:from>
    <xdr:to>
      <xdr:col>4</xdr:col>
      <xdr:colOff>869672</xdr:colOff>
      <xdr:row>26</xdr:row>
      <xdr:rowOff>57976</xdr:rowOff>
    </xdr:to>
    <xdr:sp macro="" textlink="">
      <xdr:nvSpPr>
        <xdr:cNvPr id="31" name="TextBox 30">
          <a:extLst>
            <a:ext uri="{FF2B5EF4-FFF2-40B4-BE49-F238E27FC236}">
              <a16:creationId xmlns:a16="http://schemas.microsoft.com/office/drawing/2014/main" id="{447B78A9-1B6D-4CC7-B04D-666D6F34E998}"/>
            </a:ext>
          </a:extLst>
        </xdr:cNvPr>
        <xdr:cNvSpPr txBox="1"/>
      </xdr:nvSpPr>
      <xdr:spPr>
        <a:xfrm>
          <a:off x="6460434" y="5408542"/>
          <a:ext cx="248477" cy="25676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200">
              <a:solidFill>
                <a:srgbClr val="FF0000"/>
              </a:solidFill>
            </a:rPr>
            <a:t>4</a:t>
          </a:r>
        </a:p>
      </xdr:txBody>
    </xdr:sp>
    <xdr:clientData/>
  </xdr:twoCellAnchor>
  <xdr:twoCellAnchor>
    <xdr:from>
      <xdr:col>6</xdr:col>
      <xdr:colOff>695739</xdr:colOff>
      <xdr:row>25</xdr:row>
      <xdr:rowOff>41412</xdr:rowOff>
    </xdr:from>
    <xdr:to>
      <xdr:col>6</xdr:col>
      <xdr:colOff>944216</xdr:colOff>
      <xdr:row>26</xdr:row>
      <xdr:rowOff>41411</xdr:rowOff>
    </xdr:to>
    <xdr:sp macro="" textlink="">
      <xdr:nvSpPr>
        <xdr:cNvPr id="32" name="TextBox 31">
          <a:extLst>
            <a:ext uri="{FF2B5EF4-FFF2-40B4-BE49-F238E27FC236}">
              <a16:creationId xmlns:a16="http://schemas.microsoft.com/office/drawing/2014/main" id="{6DD11D5F-3CB4-4EE1-A131-8F1FF582C600}"/>
            </a:ext>
          </a:extLst>
        </xdr:cNvPr>
        <xdr:cNvSpPr txBox="1"/>
      </xdr:nvSpPr>
      <xdr:spPr>
        <a:xfrm>
          <a:off x="7793935" y="5391977"/>
          <a:ext cx="248477" cy="25676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200">
              <a:solidFill>
                <a:srgbClr val="FF0000"/>
              </a:solidFill>
            </a:rPr>
            <a:t>5</a:t>
          </a:r>
        </a:p>
      </xdr:txBody>
    </xdr:sp>
    <xdr:clientData/>
  </xdr:twoCellAnchor>
  <xdr:twoCellAnchor>
    <xdr:from>
      <xdr:col>0</xdr:col>
      <xdr:colOff>248479</xdr:colOff>
      <xdr:row>27</xdr:row>
      <xdr:rowOff>24847</xdr:rowOff>
    </xdr:from>
    <xdr:to>
      <xdr:col>1</xdr:col>
      <xdr:colOff>173934</xdr:colOff>
      <xdr:row>28</xdr:row>
      <xdr:rowOff>115953</xdr:rowOff>
    </xdr:to>
    <xdr:sp macro="" textlink="">
      <xdr:nvSpPr>
        <xdr:cNvPr id="33" name="TextBox 32">
          <a:extLst>
            <a:ext uri="{FF2B5EF4-FFF2-40B4-BE49-F238E27FC236}">
              <a16:creationId xmlns:a16="http://schemas.microsoft.com/office/drawing/2014/main" id="{F7737876-5DC5-4103-A76D-A760BCD9518C}"/>
            </a:ext>
          </a:extLst>
        </xdr:cNvPr>
        <xdr:cNvSpPr txBox="1"/>
      </xdr:nvSpPr>
      <xdr:spPr>
        <a:xfrm>
          <a:off x="248479" y="5160064"/>
          <a:ext cx="248477" cy="256759"/>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200">
              <a:solidFill>
                <a:srgbClr val="FF0000"/>
              </a:solidFill>
            </a:rPr>
            <a:t>1</a:t>
          </a:r>
        </a:p>
      </xdr:txBody>
    </xdr:sp>
    <xdr:clientData/>
  </xdr:twoCellAnchor>
  <xdr:twoCellAnchor>
    <xdr:from>
      <xdr:col>0</xdr:col>
      <xdr:colOff>248479</xdr:colOff>
      <xdr:row>30</xdr:row>
      <xdr:rowOff>49696</xdr:rowOff>
    </xdr:from>
    <xdr:to>
      <xdr:col>1</xdr:col>
      <xdr:colOff>173934</xdr:colOff>
      <xdr:row>31</xdr:row>
      <xdr:rowOff>140803</xdr:rowOff>
    </xdr:to>
    <xdr:sp macro="" textlink="">
      <xdr:nvSpPr>
        <xdr:cNvPr id="34" name="TextBox 33">
          <a:extLst>
            <a:ext uri="{FF2B5EF4-FFF2-40B4-BE49-F238E27FC236}">
              <a16:creationId xmlns:a16="http://schemas.microsoft.com/office/drawing/2014/main" id="{3C2AE877-B95C-4DFE-BEC4-2264824862E7}"/>
            </a:ext>
          </a:extLst>
        </xdr:cNvPr>
        <xdr:cNvSpPr txBox="1"/>
      </xdr:nvSpPr>
      <xdr:spPr>
        <a:xfrm>
          <a:off x="248479" y="5764696"/>
          <a:ext cx="248477" cy="256759"/>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200">
              <a:solidFill>
                <a:srgbClr val="FF0000"/>
              </a:solidFill>
            </a:rPr>
            <a:t>2</a:t>
          </a:r>
        </a:p>
      </xdr:txBody>
    </xdr:sp>
    <xdr:clientData/>
  </xdr:twoCellAnchor>
  <xdr:twoCellAnchor>
    <xdr:from>
      <xdr:col>0</xdr:col>
      <xdr:colOff>248479</xdr:colOff>
      <xdr:row>34</xdr:row>
      <xdr:rowOff>24848</xdr:rowOff>
    </xdr:from>
    <xdr:to>
      <xdr:col>1</xdr:col>
      <xdr:colOff>173934</xdr:colOff>
      <xdr:row>35</xdr:row>
      <xdr:rowOff>115955</xdr:rowOff>
    </xdr:to>
    <xdr:sp macro="" textlink="">
      <xdr:nvSpPr>
        <xdr:cNvPr id="35" name="TextBox 34">
          <a:extLst>
            <a:ext uri="{FF2B5EF4-FFF2-40B4-BE49-F238E27FC236}">
              <a16:creationId xmlns:a16="http://schemas.microsoft.com/office/drawing/2014/main" id="{8B2A7FD4-10B2-4281-91A6-05ECA3D76563}"/>
            </a:ext>
          </a:extLst>
        </xdr:cNvPr>
        <xdr:cNvSpPr txBox="1"/>
      </xdr:nvSpPr>
      <xdr:spPr>
        <a:xfrm>
          <a:off x="248479" y="6559826"/>
          <a:ext cx="248477" cy="256759"/>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200">
              <a:solidFill>
                <a:srgbClr val="FF0000"/>
              </a:solidFill>
            </a:rPr>
            <a:t>3</a:t>
          </a:r>
        </a:p>
      </xdr:txBody>
    </xdr:sp>
    <xdr:clientData/>
  </xdr:twoCellAnchor>
  <xdr:twoCellAnchor>
    <xdr:from>
      <xdr:col>0</xdr:col>
      <xdr:colOff>248479</xdr:colOff>
      <xdr:row>37</xdr:row>
      <xdr:rowOff>41413</xdr:rowOff>
    </xdr:from>
    <xdr:to>
      <xdr:col>1</xdr:col>
      <xdr:colOff>173934</xdr:colOff>
      <xdr:row>38</xdr:row>
      <xdr:rowOff>132520</xdr:rowOff>
    </xdr:to>
    <xdr:sp macro="" textlink="">
      <xdr:nvSpPr>
        <xdr:cNvPr id="36" name="TextBox 35">
          <a:extLst>
            <a:ext uri="{FF2B5EF4-FFF2-40B4-BE49-F238E27FC236}">
              <a16:creationId xmlns:a16="http://schemas.microsoft.com/office/drawing/2014/main" id="{80489626-F4B0-4C5B-89B7-2B75328F2375}"/>
            </a:ext>
          </a:extLst>
        </xdr:cNvPr>
        <xdr:cNvSpPr txBox="1"/>
      </xdr:nvSpPr>
      <xdr:spPr>
        <a:xfrm>
          <a:off x="248479" y="7073348"/>
          <a:ext cx="248477" cy="256759"/>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200">
              <a:solidFill>
                <a:srgbClr val="FF0000"/>
              </a:solidFill>
            </a:rPr>
            <a:t>4</a:t>
          </a:r>
        </a:p>
      </xdr:txBody>
    </xdr:sp>
    <xdr:clientData/>
  </xdr:twoCellAnchor>
  <xdr:twoCellAnchor>
    <xdr:from>
      <xdr:col>0</xdr:col>
      <xdr:colOff>248479</xdr:colOff>
      <xdr:row>40</xdr:row>
      <xdr:rowOff>49696</xdr:rowOff>
    </xdr:from>
    <xdr:to>
      <xdr:col>1</xdr:col>
      <xdr:colOff>173934</xdr:colOff>
      <xdr:row>41</xdr:row>
      <xdr:rowOff>140803</xdr:rowOff>
    </xdr:to>
    <xdr:sp macro="" textlink="">
      <xdr:nvSpPr>
        <xdr:cNvPr id="37" name="TextBox 36">
          <a:extLst>
            <a:ext uri="{FF2B5EF4-FFF2-40B4-BE49-F238E27FC236}">
              <a16:creationId xmlns:a16="http://schemas.microsoft.com/office/drawing/2014/main" id="{6CE374BE-5425-41AC-A150-A6F582D3F034}"/>
            </a:ext>
          </a:extLst>
        </xdr:cNvPr>
        <xdr:cNvSpPr txBox="1"/>
      </xdr:nvSpPr>
      <xdr:spPr>
        <a:xfrm>
          <a:off x="248479" y="7578587"/>
          <a:ext cx="248477" cy="256759"/>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200">
              <a:solidFill>
                <a:srgbClr val="FF0000"/>
              </a:solidFill>
            </a:rPr>
            <a:t>5</a:t>
          </a:r>
        </a:p>
      </xdr:txBody>
    </xdr:sp>
    <xdr:clientData/>
  </xdr:twoCellAnchor>
  <xdr:twoCellAnchor>
    <xdr:from>
      <xdr:col>3</xdr:col>
      <xdr:colOff>488673</xdr:colOff>
      <xdr:row>19</xdr:row>
      <xdr:rowOff>107674</xdr:rowOff>
    </xdr:from>
    <xdr:to>
      <xdr:col>6</xdr:col>
      <xdr:colOff>977347</xdr:colOff>
      <xdr:row>21</xdr:row>
      <xdr:rowOff>115957</xdr:rowOff>
    </xdr:to>
    <xdr:sp macro="" textlink="">
      <xdr:nvSpPr>
        <xdr:cNvPr id="38" name="Rectangle 37">
          <a:extLst>
            <a:ext uri="{FF2B5EF4-FFF2-40B4-BE49-F238E27FC236}">
              <a16:creationId xmlns:a16="http://schemas.microsoft.com/office/drawing/2014/main" id="{FE908A04-2991-4F86-B00E-B4E0DE81E7C1}"/>
            </a:ext>
          </a:extLst>
        </xdr:cNvPr>
        <xdr:cNvSpPr/>
      </xdr:nvSpPr>
      <xdr:spPr>
        <a:xfrm>
          <a:off x="5714999" y="3917674"/>
          <a:ext cx="2360544" cy="52180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ZA"/>
        </a:p>
      </xdr:txBody>
    </xdr:sp>
    <xdr:clientData/>
  </xdr:twoCellAnchor>
  <xdr:twoCellAnchor>
    <xdr:from>
      <xdr:col>4</xdr:col>
      <xdr:colOff>819979</xdr:colOff>
      <xdr:row>18</xdr:row>
      <xdr:rowOff>74543</xdr:rowOff>
    </xdr:from>
    <xdr:to>
      <xdr:col>5</xdr:col>
      <xdr:colOff>132521</xdr:colOff>
      <xdr:row>19</xdr:row>
      <xdr:rowOff>74542</xdr:rowOff>
    </xdr:to>
    <xdr:sp macro="" textlink="">
      <xdr:nvSpPr>
        <xdr:cNvPr id="39" name="TextBox 38">
          <a:extLst>
            <a:ext uri="{FF2B5EF4-FFF2-40B4-BE49-F238E27FC236}">
              <a16:creationId xmlns:a16="http://schemas.microsoft.com/office/drawing/2014/main" id="{4B9E13BF-6D71-44B2-8BEE-31C4ECB50F66}"/>
            </a:ext>
          </a:extLst>
        </xdr:cNvPr>
        <xdr:cNvSpPr txBox="1"/>
      </xdr:nvSpPr>
      <xdr:spPr>
        <a:xfrm>
          <a:off x="6659218" y="3627782"/>
          <a:ext cx="248477" cy="25676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200">
              <a:solidFill>
                <a:srgbClr val="FF0000"/>
              </a:solidFill>
            </a:rPr>
            <a:t>6</a:t>
          </a:r>
        </a:p>
      </xdr:txBody>
    </xdr:sp>
    <xdr:clientData/>
  </xdr:twoCellAnchor>
  <xdr:twoCellAnchor>
    <xdr:from>
      <xdr:col>0</xdr:col>
      <xdr:colOff>265043</xdr:colOff>
      <xdr:row>47</xdr:row>
      <xdr:rowOff>41414</xdr:rowOff>
    </xdr:from>
    <xdr:to>
      <xdr:col>1</xdr:col>
      <xdr:colOff>190498</xdr:colOff>
      <xdr:row>48</xdr:row>
      <xdr:rowOff>132521</xdr:rowOff>
    </xdr:to>
    <xdr:sp macro="" textlink="">
      <xdr:nvSpPr>
        <xdr:cNvPr id="41" name="TextBox 40">
          <a:extLst>
            <a:ext uri="{FF2B5EF4-FFF2-40B4-BE49-F238E27FC236}">
              <a16:creationId xmlns:a16="http://schemas.microsoft.com/office/drawing/2014/main" id="{AD393F0E-A2CF-4850-AAC8-F0DF0D1256EA}"/>
            </a:ext>
          </a:extLst>
        </xdr:cNvPr>
        <xdr:cNvSpPr txBox="1"/>
      </xdr:nvSpPr>
      <xdr:spPr>
        <a:xfrm>
          <a:off x="265043" y="9500153"/>
          <a:ext cx="248477" cy="27332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200">
              <a:solidFill>
                <a:srgbClr val="FF0000"/>
              </a:solidFill>
            </a:rPr>
            <a:t>6</a:t>
          </a:r>
        </a:p>
      </xdr:txBody>
    </xdr:sp>
    <xdr:clientData/>
  </xdr:twoCellAnchor>
  <xdr:twoCellAnchor>
    <xdr:from>
      <xdr:col>3</xdr:col>
      <xdr:colOff>530087</xdr:colOff>
      <xdr:row>21</xdr:row>
      <xdr:rowOff>240195</xdr:rowOff>
    </xdr:from>
    <xdr:to>
      <xdr:col>6</xdr:col>
      <xdr:colOff>563217</xdr:colOff>
      <xdr:row>24</xdr:row>
      <xdr:rowOff>231913</xdr:rowOff>
    </xdr:to>
    <xdr:sp macro="" textlink="">
      <xdr:nvSpPr>
        <xdr:cNvPr id="22" name="Rectangle 21">
          <a:extLst>
            <a:ext uri="{FF2B5EF4-FFF2-40B4-BE49-F238E27FC236}">
              <a16:creationId xmlns:a16="http://schemas.microsoft.com/office/drawing/2014/main" id="{11C0BB38-78EB-49CE-9114-B1F6A76AE467}"/>
            </a:ext>
          </a:extLst>
        </xdr:cNvPr>
        <xdr:cNvSpPr/>
      </xdr:nvSpPr>
      <xdr:spPr>
        <a:xfrm>
          <a:off x="5756413" y="4563717"/>
          <a:ext cx="1905000" cy="7620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ZA"/>
        </a:p>
      </xdr:txBody>
    </xdr:sp>
    <xdr:clientData/>
  </xdr:twoCellAnchor>
  <xdr:twoCellAnchor editAs="oneCell">
    <xdr:from>
      <xdr:col>2</xdr:col>
      <xdr:colOff>1238250</xdr:colOff>
      <xdr:row>50</xdr:row>
      <xdr:rowOff>47625</xdr:rowOff>
    </xdr:from>
    <xdr:to>
      <xdr:col>6</xdr:col>
      <xdr:colOff>1400175</xdr:colOff>
      <xdr:row>61</xdr:row>
      <xdr:rowOff>0</xdr:rowOff>
    </xdr:to>
    <xdr:pic>
      <xdr:nvPicPr>
        <xdr:cNvPr id="563573" name="Picture 1">
          <a:extLst>
            <a:ext uri="{FF2B5EF4-FFF2-40B4-BE49-F238E27FC236}">
              <a16:creationId xmlns:a16="http://schemas.microsoft.com/office/drawing/2014/main" id="{1A054415-8969-407D-9EB5-67D698B7475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1254" t="24646" r="71768" b="23848"/>
        <a:stretch>
          <a:fillRect/>
        </a:stretch>
      </xdr:blipFill>
      <xdr:spPr bwMode="auto">
        <a:xfrm>
          <a:off x="3438525" y="9886950"/>
          <a:ext cx="504825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180975</xdr:colOff>
      <xdr:row>0</xdr:row>
      <xdr:rowOff>0</xdr:rowOff>
    </xdr:from>
    <xdr:to>
      <xdr:col>7</xdr:col>
      <xdr:colOff>0</xdr:colOff>
      <xdr:row>0</xdr:row>
      <xdr:rowOff>514350</xdr:rowOff>
    </xdr:to>
    <xdr:pic>
      <xdr:nvPicPr>
        <xdr:cNvPr id="563574" name="Picture 4" descr="flicks.jpg">
          <a:extLst>
            <a:ext uri="{FF2B5EF4-FFF2-40B4-BE49-F238E27FC236}">
              <a16:creationId xmlns:a16="http://schemas.microsoft.com/office/drawing/2014/main" id="{766748AB-C706-4EB3-B154-427A83E541B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67575" y="0"/>
          <a:ext cx="13716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819150</xdr:colOff>
      <xdr:row>78</xdr:row>
      <xdr:rowOff>57150</xdr:rowOff>
    </xdr:from>
    <xdr:to>
      <xdr:col>6</xdr:col>
      <xdr:colOff>1409700</xdr:colOff>
      <xdr:row>81</xdr:row>
      <xdr:rowOff>152400</xdr:rowOff>
    </xdr:to>
    <xdr:pic>
      <xdr:nvPicPr>
        <xdr:cNvPr id="563575" name="Picture 5" descr="rgb small.jpg">
          <a:extLst>
            <a:ext uri="{FF2B5EF4-FFF2-40B4-BE49-F238E27FC236}">
              <a16:creationId xmlns:a16="http://schemas.microsoft.com/office/drawing/2014/main" id="{A966EB0B-60CC-4499-9BE1-92F90F37F9C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14075" r="8057" b="19260"/>
        <a:stretch>
          <a:fillRect/>
        </a:stretch>
      </xdr:blipFill>
      <xdr:spPr bwMode="auto">
        <a:xfrm>
          <a:off x="6648450" y="17430750"/>
          <a:ext cx="18478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6" tint="-0.249977111117893"/>
    <pageSetUpPr fitToPage="1"/>
  </sheetPr>
  <dimension ref="A1:AH117"/>
  <sheetViews>
    <sheetView zoomScale="90" zoomScaleNormal="90" workbookViewId="0">
      <pane ySplit="16" topLeftCell="A97" activePane="bottomLeft" state="frozen"/>
      <selection pane="bottomLeft" activeCell="B112" sqref="B112:Q115"/>
    </sheetView>
  </sheetViews>
  <sheetFormatPr defaultRowHeight="14.25" x14ac:dyDescent="0.2"/>
  <cols>
    <col min="1" max="1" width="1" style="62" customWidth="1"/>
    <col min="2" max="2" width="12.7109375" style="3" bestFit="1" customWidth="1"/>
    <col min="3" max="3" width="8.42578125" style="4" customWidth="1"/>
    <col min="4" max="4" width="8.7109375" style="4" customWidth="1"/>
    <col min="5" max="5" width="8.42578125" style="4" customWidth="1"/>
    <col min="6" max="6" width="9.7109375" style="4" customWidth="1"/>
    <col min="7" max="7" width="9.140625" style="4" customWidth="1"/>
    <col min="8" max="8" width="10.140625" style="4" customWidth="1"/>
    <col min="9" max="9" width="9.28515625" style="3" customWidth="1"/>
    <col min="10" max="10" width="10.140625" style="48" customWidth="1"/>
    <col min="11" max="11" width="10.42578125" style="48" customWidth="1"/>
    <col min="12" max="12" width="16.140625" style="48" hidden="1" customWidth="1"/>
    <col min="13" max="13" width="10.7109375" style="3" customWidth="1"/>
    <col min="14" max="14" width="10.7109375" style="46" customWidth="1"/>
    <col min="15" max="15" width="17" style="46" hidden="1" customWidth="1"/>
    <col min="16" max="16" width="11" style="3" customWidth="1"/>
    <col min="17" max="17" width="11.140625" style="46" customWidth="1"/>
    <col min="18" max="18" width="16" style="46" hidden="1" customWidth="1"/>
    <col min="19" max="19" width="10.28515625" style="3" customWidth="1"/>
    <col min="20" max="20" width="10.5703125" style="46" customWidth="1"/>
    <col min="21" max="21" width="15.5703125" style="46" hidden="1" customWidth="1"/>
    <col min="22" max="22" width="10.140625" style="3" customWidth="1"/>
    <col min="23" max="23" width="10.140625" style="48" customWidth="1"/>
    <col min="24" max="24" width="12.7109375" style="48" customWidth="1"/>
    <col min="25" max="25" width="11.5703125" style="48" hidden="1" customWidth="1"/>
    <col min="26" max="26" width="12.140625" style="3" bestFit="1" customWidth="1"/>
    <col min="27" max="27" width="7.140625" style="48" customWidth="1"/>
    <col min="28" max="28" width="11.28515625" style="3" bestFit="1" customWidth="1"/>
    <col min="29" max="29" width="11.28515625" style="48" hidden="1" customWidth="1"/>
    <col min="30" max="30" width="13.28515625" style="51" customWidth="1"/>
    <col min="31" max="31" width="13.28515625" style="59" hidden="1" customWidth="1"/>
    <col min="32" max="32" width="14.28515625" style="3" hidden="1" customWidth="1"/>
    <col min="33" max="33" width="10.7109375" style="3" customWidth="1"/>
    <col min="34" max="16384" width="9.140625" style="3"/>
  </cols>
  <sheetData>
    <row r="1" spans="1:34" s="327" customFormat="1" ht="54.75" customHeight="1" x14ac:dyDescent="0.25">
      <c r="A1" s="318"/>
      <c r="B1" s="319" t="s">
        <v>46</v>
      </c>
      <c r="C1" s="320"/>
      <c r="D1" s="320"/>
      <c r="E1" s="320"/>
      <c r="F1" s="320"/>
      <c r="G1" s="320"/>
      <c r="H1" s="320"/>
      <c r="I1" s="320"/>
      <c r="J1" s="320"/>
      <c r="K1" s="320"/>
      <c r="L1" s="320"/>
      <c r="M1" s="320"/>
      <c r="N1" s="328" t="s">
        <v>148</v>
      </c>
      <c r="O1" s="321"/>
      <c r="P1" s="322"/>
      <c r="Q1" s="321"/>
      <c r="R1" s="321"/>
      <c r="S1" s="322"/>
      <c r="T1" s="321"/>
      <c r="U1" s="321"/>
      <c r="V1" s="322"/>
      <c r="W1" s="320"/>
      <c r="X1" s="320"/>
      <c r="Y1" s="320"/>
      <c r="Z1" s="320"/>
      <c r="AA1" s="320"/>
      <c r="AB1" s="320"/>
      <c r="AC1" s="320"/>
      <c r="AD1" s="323"/>
      <c r="AE1" s="324"/>
      <c r="AF1" s="320"/>
      <c r="AG1" s="325"/>
      <c r="AH1" s="326"/>
    </row>
    <row r="2" spans="1:34" ht="3.75" customHeight="1" x14ac:dyDescent="0.4">
      <c r="B2" s="97"/>
      <c r="C2" s="98"/>
      <c r="D2" s="98"/>
      <c r="E2" s="98"/>
      <c r="F2" s="98"/>
      <c r="G2" s="98"/>
      <c r="H2" s="98"/>
      <c r="I2" s="98"/>
      <c r="J2" s="98"/>
      <c r="K2" s="98"/>
      <c r="L2" s="98"/>
      <c r="M2" s="98"/>
      <c r="N2" s="99"/>
      <c r="O2" s="99"/>
      <c r="P2" s="98"/>
      <c r="Q2" s="99"/>
      <c r="R2" s="99"/>
      <c r="S2" s="98"/>
      <c r="T2" s="99"/>
      <c r="U2" s="99"/>
      <c r="V2" s="98"/>
      <c r="W2" s="98"/>
      <c r="X2" s="98"/>
      <c r="Y2" s="98"/>
      <c r="Z2" s="98"/>
      <c r="AA2" s="98"/>
      <c r="AB2" s="98"/>
      <c r="AC2" s="98"/>
      <c r="AD2" s="100"/>
      <c r="AE2" s="101"/>
      <c r="AF2" s="98"/>
      <c r="AG2" s="102"/>
      <c r="AH2" s="96"/>
    </row>
    <row r="3" spans="1:34" s="2" customFormat="1" ht="5.25" customHeight="1" x14ac:dyDescent="0.4">
      <c r="A3" s="62"/>
      <c r="B3" s="103"/>
      <c r="C3" s="102"/>
      <c r="D3" s="102"/>
      <c r="E3" s="102"/>
      <c r="F3" s="102"/>
      <c r="G3" s="102"/>
      <c r="H3" s="102"/>
      <c r="I3" s="102"/>
      <c r="J3" s="102"/>
      <c r="K3" s="102"/>
      <c r="L3" s="102"/>
      <c r="M3" s="102"/>
      <c r="N3" s="104"/>
      <c r="O3" s="104"/>
      <c r="P3" s="102"/>
      <c r="Q3" s="104"/>
      <c r="R3" s="104"/>
      <c r="S3" s="102"/>
      <c r="T3" s="104"/>
      <c r="U3" s="104"/>
      <c r="V3" s="102"/>
      <c r="W3" s="102"/>
      <c r="X3" s="102"/>
      <c r="Y3" s="102"/>
      <c r="Z3" s="102"/>
      <c r="AA3" s="102"/>
      <c r="AB3" s="102"/>
      <c r="AC3" s="102"/>
      <c r="AD3" s="105"/>
      <c r="AE3" s="106"/>
      <c r="AF3" s="102"/>
      <c r="AG3" s="102"/>
      <c r="AH3" s="107"/>
    </row>
    <row r="4" spans="1:34" s="2" customFormat="1" ht="16.5" customHeight="1" x14ac:dyDescent="0.4">
      <c r="A4" s="62"/>
      <c r="B4" s="108"/>
      <c r="C4" s="109"/>
      <c r="D4" s="110" t="s">
        <v>41</v>
      </c>
      <c r="E4" s="110"/>
      <c r="F4" s="110"/>
      <c r="G4" s="111"/>
      <c r="H4" s="111"/>
      <c r="I4" s="109"/>
      <c r="J4" s="109"/>
      <c r="K4" s="109"/>
      <c r="L4" s="109"/>
      <c r="M4" s="112" t="s">
        <v>45</v>
      </c>
      <c r="N4" s="113"/>
      <c r="O4" s="113"/>
      <c r="P4" s="112"/>
      <c r="Q4" s="110" t="s">
        <v>44</v>
      </c>
      <c r="R4" s="110"/>
      <c r="S4" s="114"/>
      <c r="T4" s="114"/>
      <c r="U4" s="114"/>
      <c r="V4" s="109"/>
      <c r="W4" s="109"/>
      <c r="X4" s="109"/>
      <c r="Y4" s="109"/>
      <c r="Z4" s="109"/>
      <c r="AA4" s="109"/>
      <c r="AB4" s="109"/>
      <c r="AC4" s="109"/>
      <c r="AD4" s="115"/>
      <c r="AE4" s="116"/>
      <c r="AF4" s="117"/>
      <c r="AG4" s="102"/>
      <c r="AH4" s="107"/>
    </row>
    <row r="5" spans="1:34" s="2" customFormat="1" ht="16.5" customHeight="1" x14ac:dyDescent="0.4">
      <c r="A5" s="62"/>
      <c r="B5" s="108"/>
      <c r="C5" s="118" t="s">
        <v>11</v>
      </c>
      <c r="D5" s="93">
        <v>150</v>
      </c>
      <c r="E5" s="108"/>
      <c r="F5" s="111" t="s">
        <v>132</v>
      </c>
      <c r="G5" s="111"/>
      <c r="H5" s="111"/>
      <c r="I5" s="111"/>
      <c r="J5" s="119"/>
      <c r="K5" s="119" t="s">
        <v>20</v>
      </c>
      <c r="L5" s="119"/>
      <c r="M5" s="94">
        <v>42566</v>
      </c>
      <c r="N5" s="114"/>
      <c r="O5" s="114"/>
      <c r="P5" s="119" t="s">
        <v>20</v>
      </c>
      <c r="Q5" s="94">
        <v>42641</v>
      </c>
      <c r="R5" s="120"/>
      <c r="S5" s="344" t="str">
        <f>IF(M5&gt;=Q5,"ERROR balance date is before PSC date", "")</f>
        <v/>
      </c>
      <c r="T5" s="114"/>
      <c r="U5" s="114"/>
      <c r="V5" s="353" t="s">
        <v>68</v>
      </c>
      <c r="W5" s="354"/>
      <c r="X5" s="354"/>
      <c r="Y5" s="354"/>
      <c r="Z5" s="354"/>
      <c r="AA5" s="354"/>
      <c r="AB5" s="355"/>
      <c r="AC5" s="121"/>
      <c r="AD5" s="122" t="s">
        <v>118</v>
      </c>
      <c r="AE5" s="285"/>
      <c r="AF5" s="286"/>
      <c r="AG5" s="287"/>
      <c r="AH5" s="285"/>
    </row>
    <row r="6" spans="1:34" s="2" customFormat="1" ht="16.5" customHeight="1" x14ac:dyDescent="0.4">
      <c r="A6" s="62"/>
      <c r="B6" s="108"/>
      <c r="C6" s="118" t="s">
        <v>114</v>
      </c>
      <c r="D6" s="296">
        <v>590</v>
      </c>
      <c r="E6" s="108"/>
      <c r="F6" s="93">
        <v>7</v>
      </c>
      <c r="G6" s="111" t="s">
        <v>133</v>
      </c>
      <c r="H6" s="111"/>
      <c r="I6" s="111"/>
      <c r="J6" s="123"/>
      <c r="K6" s="123" t="s">
        <v>60</v>
      </c>
      <c r="L6" s="123"/>
      <c r="M6" s="93">
        <v>2500</v>
      </c>
      <c r="N6" s="114"/>
      <c r="O6" s="114"/>
      <c r="P6" s="123" t="s">
        <v>60</v>
      </c>
      <c r="Q6" s="93">
        <v>2000</v>
      </c>
      <c r="R6" s="124"/>
      <c r="S6" s="344"/>
      <c r="T6" s="114"/>
      <c r="U6" s="114"/>
      <c r="V6" s="290">
        <f ca="1">SUM(L111,O111,R111,U111)/1000</f>
        <v>125.325</v>
      </c>
      <c r="W6" s="125" t="s">
        <v>70</v>
      </c>
      <c r="X6" s="125"/>
      <c r="Y6" s="125"/>
      <c r="Z6" s="125"/>
      <c r="AA6" s="292" t="s">
        <v>140</v>
      </c>
      <c r="AB6" s="291"/>
      <c r="AC6" s="288"/>
      <c r="AD6" s="288"/>
      <c r="AE6" s="288"/>
      <c r="AF6" s="288"/>
      <c r="AG6" s="289"/>
      <c r="AH6" s="289"/>
    </row>
    <row r="7" spans="1:34" s="2" customFormat="1" ht="16.5" customHeight="1" x14ac:dyDescent="0.4">
      <c r="A7" s="62"/>
      <c r="B7" s="297" t="s">
        <v>145</v>
      </c>
      <c r="C7" s="298"/>
      <c r="D7" s="296">
        <v>505</v>
      </c>
      <c r="E7" s="316">
        <f>SUM(D17:D109)</f>
        <v>505</v>
      </c>
      <c r="F7" s="308" t="str">
        <f>IF($E$7&lt;&gt;$D$7,"cows entered in column D do not equal cows yet to calve","okay")</f>
        <v>okay</v>
      </c>
      <c r="G7" s="111"/>
      <c r="H7" s="111"/>
      <c r="I7" s="111"/>
      <c r="J7" s="123"/>
      <c r="K7" s="123" t="s">
        <v>39</v>
      </c>
      <c r="L7" s="123"/>
      <c r="M7" s="93">
        <v>100</v>
      </c>
      <c r="N7" s="114"/>
      <c r="O7" s="114"/>
      <c r="P7" s="123" t="s">
        <v>39</v>
      </c>
      <c r="Q7" s="93">
        <v>21</v>
      </c>
      <c r="R7" s="124"/>
      <c r="S7" s="344"/>
      <c r="T7" s="114"/>
      <c r="U7" s="114"/>
      <c r="V7" s="293">
        <v>410</v>
      </c>
      <c r="W7" s="345" t="s">
        <v>139</v>
      </c>
      <c r="X7" s="345"/>
      <c r="Y7" s="294"/>
      <c r="Z7" s="295">
        <f ca="1">V7-V6</f>
        <v>284.67500000000001</v>
      </c>
      <c r="AA7" s="346" t="s">
        <v>141</v>
      </c>
      <c r="AB7" s="347"/>
      <c r="AC7" s="125"/>
      <c r="AD7" s="126"/>
      <c r="AE7" s="127"/>
      <c r="AF7" s="286"/>
      <c r="AG7" s="287"/>
      <c r="AH7" s="285"/>
    </row>
    <row r="8" spans="1:34" s="2" customFormat="1" ht="16.5" customHeight="1" x14ac:dyDescent="0.25">
      <c r="A8" s="62"/>
      <c r="B8" s="299" t="s">
        <v>142</v>
      </c>
      <c r="C8" s="300"/>
      <c r="D8" s="93">
        <v>200</v>
      </c>
      <c r="E8" s="317">
        <f>SUM(C17:C109)</f>
        <v>200</v>
      </c>
      <c r="F8" s="308" t="str">
        <f>IF($E$8&lt;&gt;$D$8,"cows entered in column C do not equal cows arriving home","okay")</f>
        <v>okay</v>
      </c>
      <c r="G8" s="111"/>
      <c r="H8" s="111"/>
      <c r="I8" s="111"/>
      <c r="J8" s="111"/>
      <c r="K8" s="111"/>
      <c r="L8" s="111"/>
      <c r="M8" s="111"/>
      <c r="N8" s="128"/>
      <c r="O8" s="128"/>
      <c r="P8" s="111"/>
      <c r="Q8" s="128"/>
      <c r="R8" s="128"/>
      <c r="S8" s="344"/>
      <c r="T8" s="129"/>
      <c r="U8" s="129"/>
      <c r="V8" s="130"/>
      <c r="W8" s="130"/>
      <c r="X8" s="130"/>
      <c r="Y8" s="130"/>
      <c r="Z8" s="130"/>
      <c r="AA8" s="130"/>
      <c r="AB8" s="131"/>
      <c r="AC8" s="131"/>
      <c r="AD8" s="132"/>
      <c r="AE8" s="133"/>
      <c r="AF8" s="134"/>
      <c r="AG8" s="107"/>
      <c r="AH8" s="107"/>
    </row>
    <row r="9" spans="1:34" s="2" customFormat="1" ht="20.25" customHeight="1" x14ac:dyDescent="0.25">
      <c r="A9" s="62"/>
      <c r="B9" s="310" t="s">
        <v>146</v>
      </c>
      <c r="C9" s="311"/>
      <c r="D9" s="312">
        <f>M5</f>
        <v>42566</v>
      </c>
      <c r="E9" s="313">
        <f>H17+I17</f>
        <v>85</v>
      </c>
      <c r="F9" s="308" t="str">
        <f>IF(D6=(D7+E9),"okay","check total cows is equal to cows calved (adjust H16 I16) + cows yet to calve")</f>
        <v>okay</v>
      </c>
      <c r="G9" s="111"/>
      <c r="H9" s="111"/>
      <c r="I9" s="111"/>
      <c r="J9" s="111"/>
      <c r="K9" s="111"/>
      <c r="L9" s="111"/>
      <c r="M9" s="111"/>
      <c r="N9" s="128"/>
      <c r="O9" s="128"/>
      <c r="P9" s="111"/>
      <c r="Q9" s="128"/>
      <c r="R9" s="128"/>
      <c r="S9" s="111"/>
      <c r="T9" s="129"/>
      <c r="U9" s="129"/>
      <c r="V9" s="130"/>
      <c r="W9" s="130"/>
      <c r="X9" s="130"/>
      <c r="Y9" s="130"/>
      <c r="Z9" s="130"/>
      <c r="AA9" s="130"/>
      <c r="AB9" s="130"/>
      <c r="AC9" s="130"/>
      <c r="AD9" s="309"/>
      <c r="AE9" s="140"/>
      <c r="AF9" s="138"/>
      <c r="AG9" s="107"/>
      <c r="AH9" s="107"/>
    </row>
    <row r="10" spans="1:34" s="2" customFormat="1" ht="19.5" customHeight="1" x14ac:dyDescent="0.25">
      <c r="A10" s="62"/>
      <c r="B10" s="341" t="s">
        <v>147</v>
      </c>
      <c r="C10" s="342"/>
      <c r="D10" s="343"/>
      <c r="E10" s="313">
        <f>D6-(D7+E9)</f>
        <v>0</v>
      </c>
      <c r="F10" s="315" t="str">
        <f>IF(E10=0,"okay", "number of unallocated cows above")</f>
        <v>okay</v>
      </c>
      <c r="G10" s="111"/>
      <c r="H10" s="111"/>
      <c r="I10" s="111"/>
      <c r="J10" s="111"/>
      <c r="K10" s="111"/>
      <c r="L10" s="111"/>
      <c r="M10" s="111"/>
      <c r="N10" s="128"/>
      <c r="O10" s="128"/>
      <c r="P10" s="111"/>
      <c r="Q10" s="128"/>
      <c r="R10" s="128"/>
      <c r="S10" s="111"/>
      <c r="T10" s="129"/>
      <c r="U10" s="129"/>
      <c r="V10" s="130"/>
      <c r="W10" s="130"/>
      <c r="X10" s="130"/>
      <c r="Y10" s="130"/>
      <c r="Z10" s="130"/>
      <c r="AA10" s="130"/>
      <c r="AB10" s="130"/>
      <c r="AC10" s="130"/>
      <c r="AD10" s="309"/>
      <c r="AE10" s="140"/>
      <c r="AF10" s="138"/>
      <c r="AG10" s="107"/>
      <c r="AH10" s="107"/>
    </row>
    <row r="11" spans="1:34" s="2" customFormat="1" ht="11.25" customHeight="1" thickBot="1" x14ac:dyDescent="0.3">
      <c r="A11" s="62"/>
      <c r="B11" s="135"/>
      <c r="C11" s="135"/>
      <c r="D11" s="107"/>
      <c r="E11" s="314"/>
      <c r="F11" s="107"/>
      <c r="G11" s="107"/>
      <c r="H11" s="107"/>
      <c r="I11" s="107"/>
      <c r="J11" s="107"/>
      <c r="K11" s="107"/>
      <c r="L11" s="107"/>
      <c r="M11" s="107"/>
      <c r="N11" s="136"/>
      <c r="O11" s="136"/>
      <c r="P11" s="107"/>
      <c r="Q11" s="136"/>
      <c r="R11" s="136"/>
      <c r="S11" s="107"/>
      <c r="T11" s="137"/>
      <c r="U11" s="137"/>
      <c r="V11" s="138"/>
      <c r="W11" s="138"/>
      <c r="X11" s="138"/>
      <c r="Y11" s="138"/>
      <c r="Z11" s="138"/>
      <c r="AA11" s="138"/>
      <c r="AB11" s="138"/>
      <c r="AC11" s="138"/>
      <c r="AD11" s="139"/>
      <c r="AE11" s="140"/>
      <c r="AF11" s="138"/>
      <c r="AG11" s="107"/>
      <c r="AH11" s="107"/>
    </row>
    <row r="12" spans="1:34" ht="16.5" customHeight="1" thickTop="1" thickBot="1" x14ac:dyDescent="0.3">
      <c r="B12" s="141">
        <f>COUNTIF(B17:B109,"&lt;"&amp;Q5)</f>
        <v>75</v>
      </c>
      <c r="C12" s="374" t="s">
        <v>122</v>
      </c>
      <c r="D12" s="375"/>
      <c r="E12" s="383" t="s">
        <v>123</v>
      </c>
      <c r="F12" s="384"/>
      <c r="G12" s="384"/>
      <c r="H12" s="384"/>
      <c r="I12" s="385"/>
      <c r="J12" s="378" t="s">
        <v>59</v>
      </c>
      <c r="K12" s="378"/>
      <c r="L12" s="378"/>
      <c r="M12" s="378"/>
      <c r="N12" s="378"/>
      <c r="O12" s="378"/>
      <c r="P12" s="378"/>
      <c r="Q12" s="378"/>
      <c r="R12" s="378"/>
      <c r="S12" s="378"/>
      <c r="T12" s="378"/>
      <c r="U12" s="142"/>
      <c r="V12" s="356" t="s">
        <v>69</v>
      </c>
      <c r="W12" s="358" t="s">
        <v>64</v>
      </c>
      <c r="X12" s="381" t="s">
        <v>130</v>
      </c>
      <c r="Y12" s="349"/>
      <c r="Z12" s="382"/>
      <c r="AA12" s="373" t="s">
        <v>119</v>
      </c>
      <c r="AB12" s="348" t="s">
        <v>55</v>
      </c>
      <c r="AC12" s="349"/>
      <c r="AD12" s="350"/>
      <c r="AE12" s="143"/>
      <c r="AF12" s="144"/>
      <c r="AG12" s="107"/>
      <c r="AH12" s="96"/>
    </row>
    <row r="13" spans="1:34" s="48" customFormat="1" ht="18" customHeight="1" thickTop="1" x14ac:dyDescent="0.2">
      <c r="A13" s="62"/>
      <c r="B13" s="369" t="s">
        <v>121</v>
      </c>
      <c r="C13" s="376" t="s">
        <v>0</v>
      </c>
      <c r="D13" s="377" t="s">
        <v>1</v>
      </c>
      <c r="E13" s="390" t="s">
        <v>113</v>
      </c>
      <c r="F13" s="379" t="s">
        <v>3</v>
      </c>
      <c r="G13" s="388" t="s">
        <v>112</v>
      </c>
      <c r="H13" s="388" t="s">
        <v>2</v>
      </c>
      <c r="I13" s="389" t="s">
        <v>4</v>
      </c>
      <c r="J13" s="392" t="s">
        <v>3</v>
      </c>
      <c r="K13" s="392"/>
      <c r="L13" s="145"/>
      <c r="M13" s="371" t="s">
        <v>112</v>
      </c>
      <c r="N13" s="372"/>
      <c r="O13" s="145"/>
      <c r="P13" s="371" t="s">
        <v>24</v>
      </c>
      <c r="Q13" s="372"/>
      <c r="R13" s="145"/>
      <c r="S13" s="371" t="s">
        <v>4</v>
      </c>
      <c r="T13" s="372"/>
      <c r="U13" s="145"/>
      <c r="V13" s="357"/>
      <c r="W13" s="359"/>
      <c r="X13" s="368" t="s">
        <v>42</v>
      </c>
      <c r="Y13" s="360" t="s">
        <v>95</v>
      </c>
      <c r="Z13" s="369" t="s">
        <v>39</v>
      </c>
      <c r="AA13" s="364"/>
      <c r="AB13" s="368" t="s">
        <v>61</v>
      </c>
      <c r="AC13" s="363" t="s">
        <v>94</v>
      </c>
      <c r="AD13" s="365" t="s">
        <v>129</v>
      </c>
      <c r="AE13" s="351" t="s">
        <v>108</v>
      </c>
      <c r="AF13" s="366" t="s">
        <v>109</v>
      </c>
      <c r="AG13" s="107"/>
      <c r="AH13" s="96"/>
    </row>
    <row r="14" spans="1:34" ht="18.75" customHeight="1" x14ac:dyDescent="0.2">
      <c r="B14" s="370"/>
      <c r="C14" s="376"/>
      <c r="D14" s="377"/>
      <c r="E14" s="391"/>
      <c r="F14" s="380"/>
      <c r="G14" s="388"/>
      <c r="H14" s="388"/>
      <c r="I14" s="389"/>
      <c r="J14" s="228" t="s">
        <v>67</v>
      </c>
      <c r="K14" s="147" t="s">
        <v>58</v>
      </c>
      <c r="L14" s="148" t="s">
        <v>56</v>
      </c>
      <c r="M14" s="146" t="s">
        <v>67</v>
      </c>
      <c r="N14" s="147" t="s">
        <v>58</v>
      </c>
      <c r="O14" s="148" t="s">
        <v>56</v>
      </c>
      <c r="P14" s="146" t="s">
        <v>67</v>
      </c>
      <c r="Q14" s="147" t="s">
        <v>58</v>
      </c>
      <c r="R14" s="148" t="s">
        <v>56</v>
      </c>
      <c r="S14" s="146" t="s">
        <v>67</v>
      </c>
      <c r="T14" s="147" t="s">
        <v>58</v>
      </c>
      <c r="U14" s="148" t="s">
        <v>56</v>
      </c>
      <c r="V14" s="357"/>
      <c r="W14" s="359"/>
      <c r="X14" s="357"/>
      <c r="Y14" s="361"/>
      <c r="Z14" s="370"/>
      <c r="AA14" s="364"/>
      <c r="AB14" s="357"/>
      <c r="AC14" s="364"/>
      <c r="AD14" s="359"/>
      <c r="AE14" s="352"/>
      <c r="AF14" s="367"/>
      <c r="AG14" s="96"/>
      <c r="AH14" s="96"/>
    </row>
    <row r="15" spans="1:34" s="52" customFormat="1" ht="20.25" customHeight="1" x14ac:dyDescent="0.2">
      <c r="A15" s="63"/>
      <c r="B15" s="149"/>
      <c r="C15" s="150"/>
      <c r="D15" s="222">
        <f>SUM(D17:D109)</f>
        <v>505</v>
      </c>
      <c r="E15" s="234"/>
      <c r="F15" s="150"/>
      <c r="G15" s="151" t="s">
        <v>5</v>
      </c>
      <c r="H15" s="151" t="s">
        <v>5</v>
      </c>
      <c r="I15" s="235" t="s">
        <v>5</v>
      </c>
      <c r="J15" s="229" t="s">
        <v>63</v>
      </c>
      <c r="K15" s="154" t="s">
        <v>63</v>
      </c>
      <c r="L15" s="154" t="s">
        <v>63</v>
      </c>
      <c r="M15" s="153" t="s">
        <v>63</v>
      </c>
      <c r="N15" s="154" t="s">
        <v>63</v>
      </c>
      <c r="O15" s="154" t="s">
        <v>63</v>
      </c>
      <c r="P15" s="153" t="s">
        <v>63</v>
      </c>
      <c r="Q15" s="154" t="s">
        <v>63</v>
      </c>
      <c r="R15" s="155" t="s">
        <v>63</v>
      </c>
      <c r="S15" s="153" t="s">
        <v>63</v>
      </c>
      <c r="T15" s="154" t="s">
        <v>63</v>
      </c>
      <c r="U15" s="155" t="s">
        <v>63</v>
      </c>
      <c r="V15" s="153" t="s">
        <v>7</v>
      </c>
      <c r="W15" s="152" t="s">
        <v>6</v>
      </c>
      <c r="X15" s="153" t="s">
        <v>6</v>
      </c>
      <c r="Y15" s="156" t="s">
        <v>10</v>
      </c>
      <c r="Z15" s="152" t="s">
        <v>8</v>
      </c>
      <c r="AA15" s="156" t="s">
        <v>8</v>
      </c>
      <c r="AB15" s="153" t="s">
        <v>65</v>
      </c>
      <c r="AC15" s="151" t="s">
        <v>65</v>
      </c>
      <c r="AD15" s="152" t="s">
        <v>65</v>
      </c>
      <c r="AE15" s="157" t="s">
        <v>6</v>
      </c>
      <c r="AF15" s="158" t="s">
        <v>6</v>
      </c>
      <c r="AG15" s="159"/>
      <c r="AH15" s="159"/>
    </row>
    <row r="16" spans="1:34" ht="8.25" customHeight="1" x14ac:dyDescent="0.2">
      <c r="B16" s="160"/>
      <c r="C16" s="161"/>
      <c r="D16" s="223"/>
      <c r="E16" s="236"/>
      <c r="F16" s="161"/>
      <c r="G16" s="162"/>
      <c r="H16" s="163"/>
      <c r="I16" s="237"/>
      <c r="J16" s="230"/>
      <c r="K16" s="165"/>
      <c r="L16" s="166"/>
      <c r="M16" s="164"/>
      <c r="N16" s="165"/>
      <c r="O16" s="166"/>
      <c r="P16" s="164"/>
      <c r="Q16" s="165"/>
      <c r="R16" s="166"/>
      <c r="S16" s="164"/>
      <c r="T16" s="165"/>
      <c r="U16" s="167"/>
      <c r="V16" s="168"/>
      <c r="W16" s="169"/>
      <c r="X16" s="170">
        <f>(M6-Q6)/(Q5-M5)</f>
        <v>6.666666666666667</v>
      </c>
      <c r="Y16" s="171"/>
      <c r="Z16" s="172">
        <f>(M7-'Spring Feed Budget'!Q7)/('Spring Feed Budget'!Q5-'Spring Feed Budget'!M5)</f>
        <v>1.0533333333333332</v>
      </c>
      <c r="AA16" s="173"/>
      <c r="AB16" s="168"/>
      <c r="AC16" s="174"/>
      <c r="AD16" s="175"/>
      <c r="AE16" s="176"/>
      <c r="AF16" s="177"/>
      <c r="AG16" s="96"/>
      <c r="AH16" s="96"/>
    </row>
    <row r="17" spans="1:34" x14ac:dyDescent="0.2">
      <c r="A17" s="64">
        <f>IF(Y17&lt;($D$5/4),0,IF(Y17&lt;($D$5/2),1,IF(Y17&lt;($D$5*0.75),2,IF(Y17&lt;$D$5,3,4))))</f>
        <v>0</v>
      </c>
      <c r="B17" s="178">
        <f>'Spring Feed Budget'!M5</f>
        <v>42566</v>
      </c>
      <c r="C17" s="73"/>
      <c r="D17" s="224">
        <v>25</v>
      </c>
      <c r="E17" s="238">
        <f ca="1">$D$6-SUM(F17:I17)</f>
        <v>200</v>
      </c>
      <c r="F17" s="305">
        <f ca="1">D6-SUM(C17:C109)-SUM(G17:I17)</f>
        <v>180</v>
      </c>
      <c r="G17" s="218">
        <f ca="1">SUM(D17:OFFSET(D17,F6-1,0))</f>
        <v>125</v>
      </c>
      <c r="H17" s="76">
        <v>55</v>
      </c>
      <c r="I17" s="239">
        <v>30</v>
      </c>
      <c r="J17" s="231">
        <v>12</v>
      </c>
      <c r="K17" s="78">
        <v>7</v>
      </c>
      <c r="L17" s="79">
        <f ca="1">K17*F17</f>
        <v>1260</v>
      </c>
      <c r="M17" s="77">
        <v>10</v>
      </c>
      <c r="N17" s="78">
        <v>0</v>
      </c>
      <c r="O17" s="79">
        <f t="shared" ref="O17:O48" ca="1" si="0">N17*G17</f>
        <v>0</v>
      </c>
      <c r="P17" s="80">
        <v>15</v>
      </c>
      <c r="Q17" s="78">
        <v>3</v>
      </c>
      <c r="R17" s="79">
        <f>Q17*H17</f>
        <v>165</v>
      </c>
      <c r="S17" s="77">
        <v>14</v>
      </c>
      <c r="T17" s="78">
        <v>3</v>
      </c>
      <c r="U17" s="81">
        <f>T17*I17</f>
        <v>90</v>
      </c>
      <c r="V17" s="82">
        <v>10</v>
      </c>
      <c r="W17" s="84"/>
      <c r="X17" s="179">
        <f>'Spring Feed Budget'!M6</f>
        <v>2500</v>
      </c>
      <c r="Y17" s="180">
        <f t="shared" ref="Y17:Y48" si="1">$D$5/Z17+Y16</f>
        <v>1.5</v>
      </c>
      <c r="Z17" s="181">
        <f>'Spring Feed Budget'!M7</f>
        <v>100</v>
      </c>
      <c r="AA17" s="83"/>
      <c r="AB17" s="182">
        <f t="shared" ref="AB17:AB24" ca="1" si="2">(M17*G17+P17*H17+S17*I17+J17*F17)/1000</f>
        <v>4.6550000000000002</v>
      </c>
      <c r="AC17" s="183">
        <f t="shared" ref="AC17:AC48" si="3">IF(W17="",(X17-X18+V17)*$D$5/1000,(W17-X18+V17)*$D$5/1000)</f>
        <v>2.4999999999999774</v>
      </c>
      <c r="AD17" s="184">
        <f t="shared" ref="AD17:AD48" ca="1" si="4">(N17*G17+Q17*H17+T17*I17+K17*F17)/1000</f>
        <v>1.5149999999999999</v>
      </c>
      <c r="AE17" s="185">
        <f>X17</f>
        <v>2500</v>
      </c>
      <c r="AF17" s="184">
        <f>(AE17-X17)</f>
        <v>0</v>
      </c>
      <c r="AG17" s="186" t="str">
        <f>'Daily Feed Allocator'!H16</f>
        <v>1.9Ha</v>
      </c>
      <c r="AH17" s="96"/>
    </row>
    <row r="18" spans="1:34" ht="15" customHeight="1" x14ac:dyDescent="0.2">
      <c r="A18" s="64">
        <f t="shared" ref="A18:A48" si="5">IF(Y18&lt;($D$5/4),0,IF(Y18&lt;($D$5/2),1,IF(Y18&lt;($D$5*0.75),2,IF(Y18&lt;$D$5,3,4))))</f>
        <v>0</v>
      </c>
      <c r="B18" s="187">
        <f>B17+1</f>
        <v>42567</v>
      </c>
      <c r="C18" s="74"/>
      <c r="D18" s="224">
        <v>20</v>
      </c>
      <c r="E18" s="240">
        <f ca="1">$D$6-SUM(F18:I18)</f>
        <v>200</v>
      </c>
      <c r="F18" s="219">
        <f t="shared" ref="F18:F49" ca="1" si="6">F17+C17-OFFSET(D18,$F$6-1,0)</f>
        <v>170</v>
      </c>
      <c r="G18" s="220">
        <f t="shared" ref="G18:G49" ca="1" si="7">G17+OFFSET(D18,$F$6-1,0)-D17</f>
        <v>110</v>
      </c>
      <c r="H18" s="221">
        <f>INT(H17*0.75)+D17</f>
        <v>66</v>
      </c>
      <c r="I18" s="241">
        <f>ROUNDUP($I$17+(0.25*$H$17),0)</f>
        <v>44</v>
      </c>
      <c r="J18" s="232">
        <v>12</v>
      </c>
      <c r="K18" s="86">
        <v>7</v>
      </c>
      <c r="L18" s="81">
        <f t="shared" ref="L18:L81" ca="1" si="8">K18*F18</f>
        <v>1190</v>
      </c>
      <c r="M18" s="85">
        <v>10</v>
      </c>
      <c r="N18" s="86">
        <v>0</v>
      </c>
      <c r="O18" s="81">
        <f t="shared" ca="1" si="0"/>
        <v>0</v>
      </c>
      <c r="P18" s="87">
        <v>15</v>
      </c>
      <c r="Q18" s="86">
        <v>3</v>
      </c>
      <c r="R18" s="81">
        <f t="shared" ref="R18:R81" si="9">Q18*H18</f>
        <v>198</v>
      </c>
      <c r="S18" s="85">
        <v>14</v>
      </c>
      <c r="T18" s="86">
        <v>3</v>
      </c>
      <c r="U18" s="81">
        <f t="shared" ref="U18:U81" si="10">T18*I18</f>
        <v>132</v>
      </c>
      <c r="V18" s="82">
        <v>10</v>
      </c>
      <c r="W18" s="84"/>
      <c r="X18" s="188">
        <f>IF(B18&gt;'Spring Feed Budget'!$Q$5,'Spring Feed Budget'!$Q$6,X17-$X$16)</f>
        <v>2493.3333333333335</v>
      </c>
      <c r="Y18" s="189">
        <f>$D$5/Z18+Y17</f>
        <v>3.0159681983560169</v>
      </c>
      <c r="Z18" s="190">
        <f>IF(B18&gt;'Spring Feed Budget'!$Q$5,'Spring Feed Budget'!$Q$7,Z17-$Z$16)</f>
        <v>98.946666666666673</v>
      </c>
      <c r="AA18" s="83"/>
      <c r="AB18" s="182">
        <f t="shared" ca="1" si="2"/>
        <v>4.7460000000000004</v>
      </c>
      <c r="AC18" s="183">
        <f t="shared" si="3"/>
        <v>2.4999999999999774</v>
      </c>
      <c r="AD18" s="184">
        <f t="shared" ca="1" si="4"/>
        <v>1.52</v>
      </c>
      <c r="AE18" s="185">
        <f t="shared" ref="AE18:AE49" ca="1" si="11">IF(W18="",AE17+V17+(AD17-AB17)*1000/$D$5,W18)</f>
        <v>2489.0666666666666</v>
      </c>
      <c r="AF18" s="184">
        <f t="shared" ref="AF18:AF81" ca="1" si="12">(AE18-X18)</f>
        <v>-4.2666666666668789</v>
      </c>
      <c r="AG18" s="186"/>
      <c r="AH18" s="96"/>
    </row>
    <row r="19" spans="1:34" ht="15" customHeight="1" x14ac:dyDescent="0.2">
      <c r="A19" s="64">
        <f t="shared" si="5"/>
        <v>0</v>
      </c>
      <c r="B19" s="187">
        <f t="shared" ref="B19:B82" si="13">B18+1</f>
        <v>42568</v>
      </c>
      <c r="C19" s="74"/>
      <c r="D19" s="224">
        <v>20</v>
      </c>
      <c r="E19" s="240">
        <f ca="1">$D$6-SUM(F19:I19)</f>
        <v>200</v>
      </c>
      <c r="F19" s="219">
        <f t="shared" ca="1" si="6"/>
        <v>160</v>
      </c>
      <c r="G19" s="220">
        <f t="shared" ca="1" si="7"/>
        <v>100</v>
      </c>
      <c r="H19" s="221">
        <f>INT(H17*0.5)+SUM(D17:D18)</f>
        <v>72</v>
      </c>
      <c r="I19" s="241">
        <f>ROUNDUP($I$17+(0.5*$H$17),0)</f>
        <v>58</v>
      </c>
      <c r="J19" s="232">
        <v>12</v>
      </c>
      <c r="K19" s="86">
        <v>7</v>
      </c>
      <c r="L19" s="81">
        <f t="shared" ca="1" si="8"/>
        <v>1120</v>
      </c>
      <c r="M19" s="85">
        <v>10</v>
      </c>
      <c r="N19" s="86">
        <v>0</v>
      </c>
      <c r="O19" s="81">
        <f t="shared" ca="1" si="0"/>
        <v>0</v>
      </c>
      <c r="P19" s="87">
        <v>15</v>
      </c>
      <c r="Q19" s="86">
        <v>3</v>
      </c>
      <c r="R19" s="81">
        <f t="shared" si="9"/>
        <v>216</v>
      </c>
      <c r="S19" s="85">
        <v>14</v>
      </c>
      <c r="T19" s="86">
        <v>3</v>
      </c>
      <c r="U19" s="81">
        <f t="shared" si="10"/>
        <v>174</v>
      </c>
      <c r="V19" s="82">
        <v>10</v>
      </c>
      <c r="W19" s="84"/>
      <c r="X19" s="188">
        <f>IF(B19&gt;'Spring Feed Budget'!$Q$5,'Spring Feed Budget'!$Q$6,X18-$X$16)</f>
        <v>2486.666666666667</v>
      </c>
      <c r="Y19" s="189">
        <f t="shared" si="1"/>
        <v>4.5482482310446573</v>
      </c>
      <c r="Z19" s="190">
        <f>IF(B19&gt;'Spring Feed Budget'!$Q$5,'Spring Feed Budget'!$Q$7,Z18-$Z$16)</f>
        <v>97.893333333333345</v>
      </c>
      <c r="AA19" s="83"/>
      <c r="AB19" s="182">
        <f t="shared" ca="1" si="2"/>
        <v>4.8120000000000003</v>
      </c>
      <c r="AC19" s="183">
        <f t="shared" si="3"/>
        <v>2.4999999999999774</v>
      </c>
      <c r="AD19" s="184">
        <f t="shared" ca="1" si="4"/>
        <v>1.51</v>
      </c>
      <c r="AE19" s="185">
        <f t="shared" ca="1" si="11"/>
        <v>2477.56</v>
      </c>
      <c r="AF19" s="184">
        <f t="shared" ca="1" si="12"/>
        <v>-9.1066666666670244</v>
      </c>
      <c r="AG19" s="186"/>
      <c r="AH19" s="96"/>
    </row>
    <row r="20" spans="1:34" ht="15" customHeight="1" x14ac:dyDescent="0.2">
      <c r="A20" s="64">
        <f t="shared" si="5"/>
        <v>0</v>
      </c>
      <c r="B20" s="187">
        <f t="shared" si="13"/>
        <v>42569</v>
      </c>
      <c r="C20" s="74"/>
      <c r="D20" s="224">
        <v>20</v>
      </c>
      <c r="E20" s="240">
        <f t="shared" ref="E20:E83" ca="1" si="14">$D$6-SUM(F20:I20)</f>
        <v>200</v>
      </c>
      <c r="F20" s="219">
        <f t="shared" ca="1" si="6"/>
        <v>150</v>
      </c>
      <c r="G20" s="220">
        <f t="shared" ca="1" si="7"/>
        <v>90</v>
      </c>
      <c r="H20" s="221">
        <f>INT(H17*0.25)+SUM(D17:D19)</f>
        <v>78</v>
      </c>
      <c r="I20" s="241">
        <f>ROUNDUP($I$17+(0.75*$H$17),0)</f>
        <v>72</v>
      </c>
      <c r="J20" s="232">
        <v>12</v>
      </c>
      <c r="K20" s="86">
        <v>7</v>
      </c>
      <c r="L20" s="81">
        <f t="shared" ca="1" si="8"/>
        <v>1050</v>
      </c>
      <c r="M20" s="85">
        <v>10</v>
      </c>
      <c r="N20" s="86">
        <v>0</v>
      </c>
      <c r="O20" s="81">
        <f t="shared" ca="1" si="0"/>
        <v>0</v>
      </c>
      <c r="P20" s="87">
        <v>15</v>
      </c>
      <c r="Q20" s="86">
        <v>3</v>
      </c>
      <c r="R20" s="81">
        <f t="shared" si="9"/>
        <v>234</v>
      </c>
      <c r="S20" s="85">
        <v>15</v>
      </c>
      <c r="T20" s="86">
        <v>3</v>
      </c>
      <c r="U20" s="81">
        <f t="shared" si="10"/>
        <v>216</v>
      </c>
      <c r="V20" s="82">
        <v>10</v>
      </c>
      <c r="W20" s="84"/>
      <c r="X20" s="188">
        <f>IF(B20&gt;'Spring Feed Budget'!$Q$5,'Spring Feed Budget'!$Q$6,X19-$X$16)</f>
        <v>2480.0000000000005</v>
      </c>
      <c r="Y20" s="189">
        <f t="shared" si="1"/>
        <v>6.0971949472776181</v>
      </c>
      <c r="Z20" s="190">
        <f>IF(B20&gt;'Spring Feed Budget'!$Q$5,'Spring Feed Budget'!$Q$7,Z19-$Z$16)</f>
        <v>96.840000000000018</v>
      </c>
      <c r="AA20" s="83"/>
      <c r="AB20" s="182">
        <f t="shared" ca="1" si="2"/>
        <v>4.95</v>
      </c>
      <c r="AC20" s="183">
        <f t="shared" si="3"/>
        <v>2.4999999999999774</v>
      </c>
      <c r="AD20" s="184">
        <f t="shared" ca="1" si="4"/>
        <v>1.5</v>
      </c>
      <c r="AE20" s="185">
        <f t="shared" ca="1" si="11"/>
        <v>2465.5466666666666</v>
      </c>
      <c r="AF20" s="184">
        <f t="shared" ca="1" si="12"/>
        <v>-14.453333333333831</v>
      </c>
      <c r="AG20" s="186"/>
      <c r="AH20" s="96"/>
    </row>
    <row r="21" spans="1:34" ht="15" customHeight="1" x14ac:dyDescent="0.2">
      <c r="A21" s="64">
        <f t="shared" si="5"/>
        <v>0</v>
      </c>
      <c r="B21" s="187">
        <f t="shared" si="13"/>
        <v>42570</v>
      </c>
      <c r="C21" s="74"/>
      <c r="D21" s="224">
        <v>20</v>
      </c>
      <c r="E21" s="240">
        <f t="shared" ca="1" si="14"/>
        <v>200</v>
      </c>
      <c r="F21" s="219">
        <f t="shared" ca="1" si="6"/>
        <v>140</v>
      </c>
      <c r="G21" s="220">
        <f t="shared" ca="1" si="7"/>
        <v>80</v>
      </c>
      <c r="H21" s="221">
        <f>SUM(D17:D20)</f>
        <v>85</v>
      </c>
      <c r="I21" s="241">
        <f>SUM($D$16:D16)+$I$17+$H$17</f>
        <v>85</v>
      </c>
      <c r="J21" s="232">
        <v>12</v>
      </c>
      <c r="K21" s="86">
        <v>7</v>
      </c>
      <c r="L21" s="81">
        <f t="shared" ca="1" si="8"/>
        <v>980</v>
      </c>
      <c r="M21" s="85">
        <v>10</v>
      </c>
      <c r="N21" s="86">
        <v>0</v>
      </c>
      <c r="O21" s="81">
        <f t="shared" ca="1" si="0"/>
        <v>0</v>
      </c>
      <c r="P21" s="87">
        <v>15</v>
      </c>
      <c r="Q21" s="86">
        <v>3</v>
      </c>
      <c r="R21" s="81">
        <f t="shared" si="9"/>
        <v>255</v>
      </c>
      <c r="S21" s="85">
        <v>15</v>
      </c>
      <c r="T21" s="86">
        <v>3</v>
      </c>
      <c r="U21" s="81">
        <f t="shared" si="10"/>
        <v>255</v>
      </c>
      <c r="V21" s="82">
        <v>10</v>
      </c>
      <c r="W21" s="84"/>
      <c r="X21" s="188">
        <f>IF(B21&gt;'Spring Feed Budget'!$Q$5,'Spring Feed Budget'!$Q$6,X20-$X$16)</f>
        <v>2473.3333333333339</v>
      </c>
      <c r="Y21" s="189">
        <f t="shared" si="1"/>
        <v>7.6631749027341876</v>
      </c>
      <c r="Z21" s="190">
        <f>IF(B21&gt;'Spring Feed Budget'!$Q$5,'Spring Feed Budget'!$Q$7,Z20-$Z$16)</f>
        <v>95.78666666666669</v>
      </c>
      <c r="AA21" s="83"/>
      <c r="AB21" s="182">
        <f t="shared" ca="1" si="2"/>
        <v>5.03</v>
      </c>
      <c r="AC21" s="183">
        <f t="shared" si="3"/>
        <v>2.4999999999999774</v>
      </c>
      <c r="AD21" s="184">
        <f t="shared" ca="1" si="4"/>
        <v>1.49</v>
      </c>
      <c r="AE21" s="185">
        <f t="shared" ca="1" si="11"/>
        <v>2452.5466666666666</v>
      </c>
      <c r="AF21" s="184">
        <f t="shared" ca="1" si="12"/>
        <v>-20.786666666667315</v>
      </c>
      <c r="AG21" s="186"/>
      <c r="AH21" s="96"/>
    </row>
    <row r="22" spans="1:34" ht="15" customHeight="1" x14ac:dyDescent="0.2">
      <c r="A22" s="64">
        <f t="shared" si="5"/>
        <v>0</v>
      </c>
      <c r="B22" s="187">
        <f t="shared" si="13"/>
        <v>42571</v>
      </c>
      <c r="C22" s="74"/>
      <c r="D22" s="224">
        <v>10</v>
      </c>
      <c r="E22" s="240">
        <f t="shared" ca="1" si="14"/>
        <v>200</v>
      </c>
      <c r="F22" s="219">
        <f t="shared" ca="1" si="6"/>
        <v>130</v>
      </c>
      <c r="G22" s="220">
        <f t="shared" ca="1" si="7"/>
        <v>70</v>
      </c>
      <c r="H22" s="221">
        <f t="shared" ref="H22:H52" si="15">SUM(D18:D21)</f>
        <v>80</v>
      </c>
      <c r="I22" s="241">
        <f>SUM($D$16:D17)+$I$17+$H$17</f>
        <v>110</v>
      </c>
      <c r="J22" s="232">
        <v>12</v>
      </c>
      <c r="K22" s="86">
        <v>7</v>
      </c>
      <c r="L22" s="81">
        <f t="shared" ca="1" si="8"/>
        <v>910</v>
      </c>
      <c r="M22" s="85">
        <v>10</v>
      </c>
      <c r="N22" s="86">
        <v>0</v>
      </c>
      <c r="O22" s="81">
        <f t="shared" ca="1" si="0"/>
        <v>0</v>
      </c>
      <c r="P22" s="87">
        <v>15</v>
      </c>
      <c r="Q22" s="86">
        <v>3</v>
      </c>
      <c r="R22" s="81">
        <f t="shared" si="9"/>
        <v>240</v>
      </c>
      <c r="S22" s="85">
        <v>15</v>
      </c>
      <c r="T22" s="86">
        <v>3</v>
      </c>
      <c r="U22" s="81">
        <f t="shared" si="10"/>
        <v>330</v>
      </c>
      <c r="V22" s="82">
        <v>10</v>
      </c>
      <c r="W22" s="84"/>
      <c r="X22" s="188">
        <f>IF(B22&gt;'Spring Feed Budget'!$Q$5,'Spring Feed Budget'!$Q$6,X21-$X$16)</f>
        <v>2466.6666666666674</v>
      </c>
      <c r="Y22" s="189">
        <f t="shared" si="1"/>
        <v>9.246566880214834</v>
      </c>
      <c r="Z22" s="190">
        <f>IF(B22&gt;'Spring Feed Budget'!$Q$5,'Spring Feed Budget'!$Q$7,Z21-$Z$16)</f>
        <v>94.733333333333363</v>
      </c>
      <c r="AA22" s="83"/>
      <c r="AB22" s="182">
        <f t="shared" ca="1" si="2"/>
        <v>5.1100000000000003</v>
      </c>
      <c r="AC22" s="183">
        <f t="shared" si="3"/>
        <v>2.4999999999999774</v>
      </c>
      <c r="AD22" s="184">
        <f t="shared" ca="1" si="4"/>
        <v>1.48</v>
      </c>
      <c r="AE22" s="185">
        <f t="shared" ca="1" si="11"/>
        <v>2438.9466666666667</v>
      </c>
      <c r="AF22" s="184">
        <f t="shared" ca="1" si="12"/>
        <v>-27.720000000000709</v>
      </c>
      <c r="AG22" s="186"/>
      <c r="AH22" s="96"/>
    </row>
    <row r="23" spans="1:34" ht="15" customHeight="1" x14ac:dyDescent="0.2">
      <c r="A23" s="64">
        <f t="shared" si="5"/>
        <v>0</v>
      </c>
      <c r="B23" s="187">
        <f t="shared" si="13"/>
        <v>42572</v>
      </c>
      <c r="C23" s="74"/>
      <c r="D23" s="224">
        <v>10</v>
      </c>
      <c r="E23" s="240">
        <f t="shared" ca="1" si="14"/>
        <v>200</v>
      </c>
      <c r="F23" s="219">
        <f t="shared" ca="1" si="6"/>
        <v>120</v>
      </c>
      <c r="G23" s="220">
        <f t="shared" ca="1" si="7"/>
        <v>70</v>
      </c>
      <c r="H23" s="221">
        <f t="shared" si="15"/>
        <v>70</v>
      </c>
      <c r="I23" s="241">
        <f>SUM($D$16:D18)+$I$17+$H$17</f>
        <v>130</v>
      </c>
      <c r="J23" s="232">
        <v>12</v>
      </c>
      <c r="K23" s="86">
        <v>7</v>
      </c>
      <c r="L23" s="81">
        <f t="shared" ca="1" si="8"/>
        <v>840</v>
      </c>
      <c r="M23" s="85">
        <v>10</v>
      </c>
      <c r="N23" s="86">
        <v>0</v>
      </c>
      <c r="O23" s="81">
        <f t="shared" ca="1" si="0"/>
        <v>0</v>
      </c>
      <c r="P23" s="87">
        <v>15</v>
      </c>
      <c r="Q23" s="86">
        <v>3</v>
      </c>
      <c r="R23" s="81">
        <f t="shared" si="9"/>
        <v>210</v>
      </c>
      <c r="S23" s="85">
        <v>15</v>
      </c>
      <c r="T23" s="86">
        <v>3</v>
      </c>
      <c r="U23" s="81">
        <f t="shared" si="10"/>
        <v>390</v>
      </c>
      <c r="V23" s="82">
        <v>10</v>
      </c>
      <c r="W23" s="84"/>
      <c r="X23" s="188">
        <f>IF(B23&gt;'Spring Feed Budget'!$Q$5,'Spring Feed Budget'!$Q$6,X22-$X$16)</f>
        <v>2460.0000000000009</v>
      </c>
      <c r="Y23" s="189">
        <f t="shared" si="1"/>
        <v>10.847762439565816</v>
      </c>
      <c r="Z23" s="190">
        <f>IF(B23&gt;'Spring Feed Budget'!$Q$5,'Spring Feed Budget'!$Q$7,Z22-$Z$16)</f>
        <v>93.680000000000035</v>
      </c>
      <c r="AA23" s="83"/>
      <c r="AB23" s="182">
        <f t="shared" ca="1" si="2"/>
        <v>5.14</v>
      </c>
      <c r="AC23" s="183">
        <f t="shared" si="3"/>
        <v>2.4999999999999774</v>
      </c>
      <c r="AD23" s="184">
        <f t="shared" ca="1" si="4"/>
        <v>1.44</v>
      </c>
      <c r="AE23" s="185">
        <f t="shared" ca="1" si="11"/>
        <v>2424.7466666666669</v>
      </c>
      <c r="AF23" s="184">
        <f t="shared" ca="1" si="12"/>
        <v>-35.253333333334012</v>
      </c>
      <c r="AG23" s="186"/>
      <c r="AH23" s="96"/>
    </row>
    <row r="24" spans="1:34" ht="15" customHeight="1" x14ac:dyDescent="0.2">
      <c r="A24" s="64">
        <f t="shared" si="5"/>
        <v>0</v>
      </c>
      <c r="B24" s="187">
        <f t="shared" si="13"/>
        <v>42573</v>
      </c>
      <c r="C24" s="74"/>
      <c r="D24" s="224">
        <v>10</v>
      </c>
      <c r="E24" s="240">
        <f t="shared" ca="1" si="14"/>
        <v>200</v>
      </c>
      <c r="F24" s="219">
        <f t="shared" ca="1" si="6"/>
        <v>110</v>
      </c>
      <c r="G24" s="220">
        <f t="shared" ca="1" si="7"/>
        <v>70</v>
      </c>
      <c r="H24" s="221">
        <f t="shared" si="15"/>
        <v>60</v>
      </c>
      <c r="I24" s="241">
        <f>SUM($D$16:D19)+$I$17+$H$17</f>
        <v>150</v>
      </c>
      <c r="J24" s="232">
        <v>12</v>
      </c>
      <c r="K24" s="86">
        <v>7</v>
      </c>
      <c r="L24" s="81">
        <f t="shared" ca="1" si="8"/>
        <v>770</v>
      </c>
      <c r="M24" s="85">
        <v>10</v>
      </c>
      <c r="N24" s="86">
        <v>0</v>
      </c>
      <c r="O24" s="81">
        <f t="shared" ca="1" si="0"/>
        <v>0</v>
      </c>
      <c r="P24" s="87">
        <v>15</v>
      </c>
      <c r="Q24" s="86">
        <v>3</v>
      </c>
      <c r="R24" s="81">
        <f t="shared" si="9"/>
        <v>180</v>
      </c>
      <c r="S24" s="85">
        <v>15</v>
      </c>
      <c r="T24" s="86">
        <v>3</v>
      </c>
      <c r="U24" s="81">
        <f t="shared" si="10"/>
        <v>450</v>
      </c>
      <c r="V24" s="82">
        <v>10</v>
      </c>
      <c r="W24" s="84"/>
      <c r="X24" s="188">
        <f>IF(B24&gt;'Spring Feed Budget'!$Q$5,'Spring Feed Budget'!$Q$6,X23-$X$16)</f>
        <v>2453.3333333333344</v>
      </c>
      <c r="Y24" s="189">
        <f t="shared" si="1"/>
        <v>12.467166498871991</v>
      </c>
      <c r="Z24" s="190">
        <f>IF(B24&gt;'Spring Feed Budget'!$Q$5,'Spring Feed Budget'!$Q$7,Z23-$Z$16)</f>
        <v>92.626666666666708</v>
      </c>
      <c r="AA24" s="83"/>
      <c r="AB24" s="182">
        <f t="shared" ca="1" si="2"/>
        <v>5.17</v>
      </c>
      <c r="AC24" s="183">
        <f t="shared" si="3"/>
        <v>2.4999999999999774</v>
      </c>
      <c r="AD24" s="184">
        <f t="shared" ca="1" si="4"/>
        <v>1.4</v>
      </c>
      <c r="AE24" s="185">
        <f t="shared" ca="1" si="11"/>
        <v>2410.0800000000004</v>
      </c>
      <c r="AF24" s="184">
        <f t="shared" ca="1" si="12"/>
        <v>-43.253333333334012</v>
      </c>
      <c r="AG24" s="186"/>
      <c r="AH24" s="96"/>
    </row>
    <row r="25" spans="1:34" ht="15" customHeight="1" x14ac:dyDescent="0.2">
      <c r="A25" s="64">
        <f t="shared" si="5"/>
        <v>0</v>
      </c>
      <c r="B25" s="187">
        <f t="shared" si="13"/>
        <v>42574</v>
      </c>
      <c r="C25" s="74"/>
      <c r="D25" s="224">
        <v>10</v>
      </c>
      <c r="E25" s="240">
        <f t="shared" ca="1" si="14"/>
        <v>200</v>
      </c>
      <c r="F25" s="219">
        <f t="shared" ca="1" si="6"/>
        <v>100</v>
      </c>
      <c r="G25" s="220">
        <f t="shared" ca="1" si="7"/>
        <v>70</v>
      </c>
      <c r="H25" s="221">
        <f t="shared" si="15"/>
        <v>50</v>
      </c>
      <c r="I25" s="241">
        <f>SUM($D$16:D20)+$I$17+$H$17</f>
        <v>170</v>
      </c>
      <c r="J25" s="232">
        <v>12</v>
      </c>
      <c r="K25" s="86">
        <v>7</v>
      </c>
      <c r="L25" s="81">
        <f t="shared" ca="1" si="8"/>
        <v>700</v>
      </c>
      <c r="M25" s="85">
        <v>10</v>
      </c>
      <c r="N25" s="86">
        <v>0</v>
      </c>
      <c r="O25" s="81">
        <f t="shared" ca="1" si="0"/>
        <v>0</v>
      </c>
      <c r="P25" s="87">
        <v>15</v>
      </c>
      <c r="Q25" s="86">
        <v>3</v>
      </c>
      <c r="R25" s="81">
        <f t="shared" si="9"/>
        <v>150</v>
      </c>
      <c r="S25" s="85">
        <v>16</v>
      </c>
      <c r="T25" s="86">
        <v>3</v>
      </c>
      <c r="U25" s="81">
        <f t="shared" si="10"/>
        <v>510</v>
      </c>
      <c r="V25" s="82">
        <v>10</v>
      </c>
      <c r="W25" s="84"/>
      <c r="X25" s="188">
        <f>IF(B25&gt;'Spring Feed Budget'!$Q$5,'Spring Feed Budget'!$Q$6,X24-$X$16)</f>
        <v>2446.6666666666679</v>
      </c>
      <c r="Y25" s="189">
        <f t="shared" si="1"/>
        <v>14.105197949075835</v>
      </c>
      <c r="Z25" s="190">
        <f>IF(B25&gt;'Spring Feed Budget'!$Q$5,'Spring Feed Budget'!$Q$7,Z24-$Z$16)</f>
        <v>91.57333333333338</v>
      </c>
      <c r="AA25" s="83"/>
      <c r="AB25" s="182">
        <f ca="1">(M25*G25+P24*H25+S25*I25+J25*F25)/1000</f>
        <v>5.37</v>
      </c>
      <c r="AC25" s="183">
        <f t="shared" si="3"/>
        <v>2.4999999999999774</v>
      </c>
      <c r="AD25" s="184">
        <f t="shared" ca="1" si="4"/>
        <v>1.36</v>
      </c>
      <c r="AE25" s="185">
        <f t="shared" ca="1" si="11"/>
        <v>2394.9466666666672</v>
      </c>
      <c r="AF25" s="184">
        <f t="shared" ca="1" si="12"/>
        <v>-51.720000000000709</v>
      </c>
      <c r="AG25" s="186"/>
      <c r="AH25" s="96"/>
    </row>
    <row r="26" spans="1:34" ht="15" customHeight="1" x14ac:dyDescent="0.2">
      <c r="A26" s="64">
        <f t="shared" si="5"/>
        <v>0</v>
      </c>
      <c r="B26" s="187">
        <f t="shared" si="13"/>
        <v>42575</v>
      </c>
      <c r="C26" s="74"/>
      <c r="D26" s="224">
        <v>10</v>
      </c>
      <c r="E26" s="240">
        <f t="shared" ca="1" si="14"/>
        <v>200</v>
      </c>
      <c r="F26" s="219">
        <f t="shared" ca="1" si="6"/>
        <v>90</v>
      </c>
      <c r="G26" s="220">
        <f t="shared" ca="1" si="7"/>
        <v>70</v>
      </c>
      <c r="H26" s="221">
        <f t="shared" si="15"/>
        <v>40</v>
      </c>
      <c r="I26" s="241">
        <f>SUM($D$16:D21)+$I$17+$H$17</f>
        <v>190</v>
      </c>
      <c r="J26" s="232">
        <v>12</v>
      </c>
      <c r="K26" s="86">
        <v>7</v>
      </c>
      <c r="L26" s="81">
        <f t="shared" ca="1" si="8"/>
        <v>630</v>
      </c>
      <c r="M26" s="85">
        <v>10</v>
      </c>
      <c r="N26" s="86">
        <v>0</v>
      </c>
      <c r="O26" s="81">
        <f t="shared" ca="1" si="0"/>
        <v>0</v>
      </c>
      <c r="P26" s="87">
        <v>15</v>
      </c>
      <c r="Q26" s="86">
        <v>3</v>
      </c>
      <c r="R26" s="81">
        <f t="shared" si="9"/>
        <v>120</v>
      </c>
      <c r="S26" s="85">
        <v>16</v>
      </c>
      <c r="T26" s="86">
        <v>3</v>
      </c>
      <c r="U26" s="81">
        <f t="shared" si="10"/>
        <v>570</v>
      </c>
      <c r="V26" s="82">
        <v>10</v>
      </c>
      <c r="W26" s="84"/>
      <c r="X26" s="188">
        <f>IF(B26&gt;'Spring Feed Budget'!$Q$5,'Spring Feed Budget'!$Q$6,X25-$X$16)</f>
        <v>2440.0000000000014</v>
      </c>
      <c r="Y26" s="189">
        <f t="shared" si="1"/>
        <v>15.762290304356435</v>
      </c>
      <c r="Z26" s="190">
        <f>IF(B26&gt;'Spring Feed Budget'!$Q$5,'Spring Feed Budget'!$Q$7,Z25-$Z$16)</f>
        <v>90.520000000000053</v>
      </c>
      <c r="AA26" s="83"/>
      <c r="AB26" s="182">
        <f ca="1">(M26*G26+P24*H26+S26*I26+J26*F26)/1000</f>
        <v>5.42</v>
      </c>
      <c r="AC26" s="183">
        <f t="shared" si="3"/>
        <v>2.4999999999999774</v>
      </c>
      <c r="AD26" s="184">
        <f t="shared" ca="1" si="4"/>
        <v>1.32</v>
      </c>
      <c r="AE26" s="185">
        <f t="shared" ca="1" si="11"/>
        <v>2378.213333333334</v>
      </c>
      <c r="AF26" s="184">
        <f t="shared" ca="1" si="12"/>
        <v>-61.786666666667315</v>
      </c>
      <c r="AG26" s="186"/>
      <c r="AH26" s="96"/>
    </row>
    <row r="27" spans="1:34" ht="15" customHeight="1" x14ac:dyDescent="0.2">
      <c r="A27" s="64">
        <f t="shared" si="5"/>
        <v>0</v>
      </c>
      <c r="B27" s="187">
        <f t="shared" si="13"/>
        <v>42576</v>
      </c>
      <c r="C27" s="74"/>
      <c r="D27" s="224">
        <v>10</v>
      </c>
      <c r="E27" s="240">
        <f t="shared" ca="1" si="14"/>
        <v>200</v>
      </c>
      <c r="F27" s="219">
        <f t="shared" ca="1" si="6"/>
        <v>80</v>
      </c>
      <c r="G27" s="220">
        <f t="shared" ca="1" si="7"/>
        <v>70</v>
      </c>
      <c r="H27" s="221">
        <f t="shared" si="15"/>
        <v>40</v>
      </c>
      <c r="I27" s="241">
        <f>SUM($D$16:D22)+$I$17+$H$17</f>
        <v>200</v>
      </c>
      <c r="J27" s="232">
        <v>12</v>
      </c>
      <c r="K27" s="86">
        <v>7</v>
      </c>
      <c r="L27" s="81">
        <f t="shared" ca="1" si="8"/>
        <v>560</v>
      </c>
      <c r="M27" s="85">
        <v>10</v>
      </c>
      <c r="N27" s="86">
        <v>0</v>
      </c>
      <c r="O27" s="81">
        <f t="shared" ca="1" si="0"/>
        <v>0</v>
      </c>
      <c r="P27" s="87">
        <v>15</v>
      </c>
      <c r="Q27" s="86">
        <v>3</v>
      </c>
      <c r="R27" s="81">
        <f t="shared" si="9"/>
        <v>120</v>
      </c>
      <c r="S27" s="85">
        <v>16</v>
      </c>
      <c r="T27" s="86">
        <v>3</v>
      </c>
      <c r="U27" s="81">
        <f t="shared" si="10"/>
        <v>600</v>
      </c>
      <c r="V27" s="82">
        <v>10</v>
      </c>
      <c r="W27" s="84"/>
      <c r="X27" s="188">
        <f>IF(B27&gt;'Spring Feed Budget'!$Q$5,'Spring Feed Budget'!$Q$6,X26-$X$16)</f>
        <v>2433.3333333333348</v>
      </c>
      <c r="Y27" s="189">
        <f t="shared" si="1"/>
        <v>17.438892390794585</v>
      </c>
      <c r="Z27" s="190">
        <f>IF(B27&gt;'Spring Feed Budget'!$Q$5,'Spring Feed Budget'!$Q$7,Z26-$Z$16)</f>
        <v>89.466666666666725</v>
      </c>
      <c r="AA27" s="83"/>
      <c r="AB27" s="182">
        <f ca="1">(M27*G27+P24*H27+S27*I27+J27*F27)/1000</f>
        <v>5.46</v>
      </c>
      <c r="AC27" s="183">
        <f t="shared" si="3"/>
        <v>2.4999999999999774</v>
      </c>
      <c r="AD27" s="184">
        <f t="shared" ca="1" si="4"/>
        <v>1.28</v>
      </c>
      <c r="AE27" s="185">
        <f t="shared" ca="1" si="11"/>
        <v>2360.8800000000006</v>
      </c>
      <c r="AF27" s="184">
        <f t="shared" ca="1" si="12"/>
        <v>-72.453333333334285</v>
      </c>
      <c r="AG27" s="186"/>
      <c r="AH27" s="96"/>
    </row>
    <row r="28" spans="1:34" x14ac:dyDescent="0.2">
      <c r="A28" s="64">
        <f t="shared" si="5"/>
        <v>0</v>
      </c>
      <c r="B28" s="187">
        <f t="shared" si="13"/>
        <v>42577</v>
      </c>
      <c r="C28" s="74"/>
      <c r="D28" s="224">
        <v>10</v>
      </c>
      <c r="E28" s="240">
        <f t="shared" ca="1" si="14"/>
        <v>200</v>
      </c>
      <c r="F28" s="219">
        <f t="shared" ca="1" si="6"/>
        <v>70</v>
      </c>
      <c r="G28" s="220">
        <f t="shared" ca="1" si="7"/>
        <v>70</v>
      </c>
      <c r="H28" s="221">
        <f t="shared" si="15"/>
        <v>40</v>
      </c>
      <c r="I28" s="241">
        <f>SUM($D$16:D23)+$I$17+$H$17</f>
        <v>210</v>
      </c>
      <c r="J28" s="232">
        <v>12</v>
      </c>
      <c r="K28" s="86">
        <v>7</v>
      </c>
      <c r="L28" s="81">
        <f t="shared" ca="1" si="8"/>
        <v>490</v>
      </c>
      <c r="M28" s="85">
        <v>10</v>
      </c>
      <c r="N28" s="86">
        <v>0</v>
      </c>
      <c r="O28" s="81">
        <f t="shared" ca="1" si="0"/>
        <v>0</v>
      </c>
      <c r="P28" s="87">
        <v>15</v>
      </c>
      <c r="Q28" s="86">
        <v>3</v>
      </c>
      <c r="R28" s="81">
        <f t="shared" si="9"/>
        <v>120</v>
      </c>
      <c r="S28" s="85">
        <v>16</v>
      </c>
      <c r="T28" s="86">
        <v>3</v>
      </c>
      <c r="U28" s="81">
        <f t="shared" si="10"/>
        <v>630</v>
      </c>
      <c r="V28" s="82">
        <v>10</v>
      </c>
      <c r="W28" s="84"/>
      <c r="X28" s="188">
        <f>IF(B28&gt;'Spring Feed Budget'!$Q$5,'Spring Feed Budget'!$Q$6,X27-$X$16)</f>
        <v>2426.6666666666683</v>
      </c>
      <c r="Y28" s="189">
        <f t="shared" si="1"/>
        <v>19.135469076060758</v>
      </c>
      <c r="Z28" s="190">
        <f>IF(B28&gt;'Spring Feed Budget'!$Q$5,'Spring Feed Budget'!$Q$7,Z27-$Z$16)</f>
        <v>88.413333333333398</v>
      </c>
      <c r="AA28" s="83"/>
      <c r="AB28" s="182">
        <f ca="1">(M28*G28+P24*H28+S28*I28+J28*F28)/1000</f>
        <v>5.5</v>
      </c>
      <c r="AC28" s="183">
        <f t="shared" si="3"/>
        <v>2.4999999999999774</v>
      </c>
      <c r="AD28" s="184">
        <f t="shared" ca="1" si="4"/>
        <v>1.24</v>
      </c>
      <c r="AE28" s="185">
        <f t="shared" ca="1" si="11"/>
        <v>2343.0133333333338</v>
      </c>
      <c r="AF28" s="184">
        <f t="shared" ca="1" si="12"/>
        <v>-83.653333333334558</v>
      </c>
      <c r="AG28" s="186"/>
      <c r="AH28" s="96"/>
    </row>
    <row r="29" spans="1:34" x14ac:dyDescent="0.2">
      <c r="A29" s="64">
        <f t="shared" si="5"/>
        <v>0</v>
      </c>
      <c r="B29" s="187">
        <f t="shared" si="13"/>
        <v>42578</v>
      </c>
      <c r="C29" s="74"/>
      <c r="D29" s="224">
        <v>10</v>
      </c>
      <c r="E29" s="240">
        <f t="shared" ca="1" si="14"/>
        <v>200</v>
      </c>
      <c r="F29" s="219">
        <f t="shared" ca="1" si="6"/>
        <v>60</v>
      </c>
      <c r="G29" s="220">
        <f t="shared" ca="1" si="7"/>
        <v>70</v>
      </c>
      <c r="H29" s="221">
        <f t="shared" si="15"/>
        <v>40</v>
      </c>
      <c r="I29" s="241">
        <f>SUM($D$16:D24)+$I$17+$H$17</f>
        <v>220</v>
      </c>
      <c r="J29" s="232">
        <v>12</v>
      </c>
      <c r="K29" s="86">
        <v>7</v>
      </c>
      <c r="L29" s="81">
        <f t="shared" ca="1" si="8"/>
        <v>420</v>
      </c>
      <c r="M29" s="85">
        <v>10</v>
      </c>
      <c r="N29" s="86">
        <v>0</v>
      </c>
      <c r="O29" s="81">
        <f t="shared" ca="1" si="0"/>
        <v>0</v>
      </c>
      <c r="P29" s="87">
        <v>15</v>
      </c>
      <c r="Q29" s="86">
        <v>3</v>
      </c>
      <c r="R29" s="81">
        <f t="shared" si="9"/>
        <v>120</v>
      </c>
      <c r="S29" s="85">
        <v>16</v>
      </c>
      <c r="T29" s="86">
        <v>3</v>
      </c>
      <c r="U29" s="81">
        <f t="shared" si="10"/>
        <v>660</v>
      </c>
      <c r="V29" s="82">
        <v>15</v>
      </c>
      <c r="W29" s="84"/>
      <c r="X29" s="188">
        <f>IF(B29&gt;'Spring Feed Budget'!$Q$5,'Spring Feed Budget'!$Q$6,X28-$X$16)</f>
        <v>2420.0000000000018</v>
      </c>
      <c r="Y29" s="189">
        <f t="shared" si="1"/>
        <v>20.852502043093725</v>
      </c>
      <c r="Z29" s="190">
        <f>IF(B29&gt;'Spring Feed Budget'!$Q$5,'Spring Feed Budget'!$Q$7,Z28-$Z$16)</f>
        <v>87.36000000000007</v>
      </c>
      <c r="AA29" s="83"/>
      <c r="AB29" s="182">
        <f ca="1">(M29*G29+P24*H29+S29*I29+J29*F29)/1000</f>
        <v>5.54</v>
      </c>
      <c r="AC29" s="183">
        <f t="shared" si="3"/>
        <v>3.2499999999999774</v>
      </c>
      <c r="AD29" s="184">
        <f t="shared" ca="1" si="4"/>
        <v>1.2</v>
      </c>
      <c r="AE29" s="185">
        <f t="shared" ca="1" si="11"/>
        <v>2324.6133333333337</v>
      </c>
      <c r="AF29" s="184">
        <f t="shared" ca="1" si="12"/>
        <v>-95.386666666668134</v>
      </c>
      <c r="AG29" s="186"/>
      <c r="AH29" s="96"/>
    </row>
    <row r="30" spans="1:34" x14ac:dyDescent="0.2">
      <c r="A30" s="64">
        <f t="shared" si="5"/>
        <v>0</v>
      </c>
      <c r="B30" s="187">
        <f t="shared" si="13"/>
        <v>42579</v>
      </c>
      <c r="C30" s="74"/>
      <c r="D30" s="224">
        <v>10</v>
      </c>
      <c r="E30" s="240">
        <f t="shared" ca="1" si="14"/>
        <v>200</v>
      </c>
      <c r="F30" s="219">
        <f t="shared" ca="1" si="6"/>
        <v>50</v>
      </c>
      <c r="G30" s="220">
        <f t="shared" ca="1" si="7"/>
        <v>70</v>
      </c>
      <c r="H30" s="221">
        <f t="shared" si="15"/>
        <v>40</v>
      </c>
      <c r="I30" s="241">
        <f>SUM($D$16:D25)+$I$17+$H$17</f>
        <v>230</v>
      </c>
      <c r="J30" s="232">
        <v>12</v>
      </c>
      <c r="K30" s="86">
        <v>7</v>
      </c>
      <c r="L30" s="81">
        <f t="shared" ca="1" si="8"/>
        <v>350</v>
      </c>
      <c r="M30" s="85">
        <v>10</v>
      </c>
      <c r="N30" s="86">
        <v>0</v>
      </c>
      <c r="O30" s="81">
        <f t="shared" ca="1" si="0"/>
        <v>0</v>
      </c>
      <c r="P30" s="87">
        <v>15</v>
      </c>
      <c r="Q30" s="86">
        <v>3</v>
      </c>
      <c r="R30" s="81">
        <f t="shared" si="9"/>
        <v>120</v>
      </c>
      <c r="S30" s="85">
        <v>16</v>
      </c>
      <c r="T30" s="86">
        <v>3</v>
      </c>
      <c r="U30" s="81">
        <f t="shared" si="10"/>
        <v>690</v>
      </c>
      <c r="V30" s="82">
        <v>15</v>
      </c>
      <c r="W30" s="84"/>
      <c r="X30" s="188">
        <f>IF(B30&gt;'Spring Feed Budget'!$Q$5,'Spring Feed Budget'!$Q$6,X29-$X$16)</f>
        <v>2413.3333333333353</v>
      </c>
      <c r="Y30" s="189">
        <f t="shared" si="1"/>
        <v>22.590490610991143</v>
      </c>
      <c r="Z30" s="190">
        <f>IF(B30&gt;'Spring Feed Budget'!$Q$5,'Spring Feed Budget'!$Q$7,Z29-$Z$16)</f>
        <v>86.306666666666743</v>
      </c>
      <c r="AA30" s="83"/>
      <c r="AB30" s="182">
        <f ca="1">(M30*G30+P24*H30+S30*I30+J30*F30)/1000</f>
        <v>5.58</v>
      </c>
      <c r="AC30" s="183">
        <f t="shared" si="3"/>
        <v>3.2499999999999774</v>
      </c>
      <c r="AD30" s="184">
        <f t="shared" ca="1" si="4"/>
        <v>1.1599999999999999</v>
      </c>
      <c r="AE30" s="185">
        <f t="shared" ca="1" si="11"/>
        <v>2310.6800000000003</v>
      </c>
      <c r="AF30" s="184">
        <f t="shared" ca="1" si="12"/>
        <v>-102.65333333333501</v>
      </c>
      <c r="AG30" s="186"/>
      <c r="AH30" s="96"/>
    </row>
    <row r="31" spans="1:34" x14ac:dyDescent="0.2">
      <c r="A31" s="64">
        <f t="shared" si="5"/>
        <v>0</v>
      </c>
      <c r="B31" s="187">
        <f t="shared" si="13"/>
        <v>42580</v>
      </c>
      <c r="C31" s="74"/>
      <c r="D31" s="224">
        <v>10</v>
      </c>
      <c r="E31" s="240">
        <f t="shared" ca="1" si="14"/>
        <v>200</v>
      </c>
      <c r="F31" s="219">
        <f t="shared" ca="1" si="6"/>
        <v>40</v>
      </c>
      <c r="G31" s="220">
        <f t="shared" ca="1" si="7"/>
        <v>70</v>
      </c>
      <c r="H31" s="221">
        <f t="shared" si="15"/>
        <v>40</v>
      </c>
      <c r="I31" s="241">
        <f>SUM($D$16:D26)+$I$17+$H$17</f>
        <v>240</v>
      </c>
      <c r="J31" s="232">
        <v>12</v>
      </c>
      <c r="K31" s="86">
        <v>7</v>
      </c>
      <c r="L31" s="81">
        <f t="shared" ca="1" si="8"/>
        <v>280</v>
      </c>
      <c r="M31" s="85">
        <v>10</v>
      </c>
      <c r="N31" s="86">
        <v>0</v>
      </c>
      <c r="O31" s="81">
        <f t="shared" ca="1" si="0"/>
        <v>0</v>
      </c>
      <c r="P31" s="87">
        <v>15</v>
      </c>
      <c r="Q31" s="86">
        <v>3</v>
      </c>
      <c r="R31" s="81">
        <f t="shared" si="9"/>
        <v>120</v>
      </c>
      <c r="S31" s="85">
        <v>16</v>
      </c>
      <c r="T31" s="86">
        <v>3</v>
      </c>
      <c r="U31" s="81">
        <f t="shared" si="10"/>
        <v>720</v>
      </c>
      <c r="V31" s="82">
        <v>15</v>
      </c>
      <c r="W31" s="84"/>
      <c r="X31" s="188">
        <f>IF(B31&gt;'Spring Feed Budget'!$Q$5,'Spring Feed Budget'!$Q$6,X30-$X$16)</f>
        <v>2406.6666666666688</v>
      </c>
      <c r="Y31" s="189">
        <f t="shared" si="1"/>
        <v>24.349952606612035</v>
      </c>
      <c r="Z31" s="190">
        <f>IF(B31&gt;'Spring Feed Budget'!$Q$5,'Spring Feed Budget'!$Q$7,Z30-$Z$16)</f>
        <v>85.253333333333416</v>
      </c>
      <c r="AA31" s="83"/>
      <c r="AB31" s="182">
        <f ca="1">(M31*G31+P31*H31+S31*I31+J31*F31)/1000</f>
        <v>5.62</v>
      </c>
      <c r="AC31" s="183">
        <f t="shared" si="3"/>
        <v>3.2499999999999774</v>
      </c>
      <c r="AD31" s="184">
        <f t="shared" ca="1" si="4"/>
        <v>1.1200000000000001</v>
      </c>
      <c r="AE31" s="185">
        <f t="shared" ca="1" si="11"/>
        <v>2296.2133333333336</v>
      </c>
      <c r="AF31" s="184">
        <f t="shared" ca="1" si="12"/>
        <v>-110.45333333333519</v>
      </c>
      <c r="AG31" s="186"/>
      <c r="AH31" s="96"/>
    </row>
    <row r="32" spans="1:34" x14ac:dyDescent="0.2">
      <c r="A32" s="64">
        <f t="shared" si="5"/>
        <v>0</v>
      </c>
      <c r="B32" s="187">
        <f t="shared" si="13"/>
        <v>42581</v>
      </c>
      <c r="C32" s="74"/>
      <c r="D32" s="224">
        <v>10</v>
      </c>
      <c r="E32" s="240">
        <f t="shared" ca="1" si="14"/>
        <v>200</v>
      </c>
      <c r="F32" s="219">
        <f t="shared" ca="1" si="6"/>
        <v>30</v>
      </c>
      <c r="G32" s="220">
        <f t="shared" ca="1" si="7"/>
        <v>70</v>
      </c>
      <c r="H32" s="221">
        <f t="shared" si="15"/>
        <v>40</v>
      </c>
      <c r="I32" s="241">
        <f>SUM($D$16:D27)+$I$17+$H$17</f>
        <v>250</v>
      </c>
      <c r="J32" s="232">
        <v>12</v>
      </c>
      <c r="K32" s="86">
        <v>7</v>
      </c>
      <c r="L32" s="81">
        <f t="shared" ca="1" si="8"/>
        <v>210</v>
      </c>
      <c r="M32" s="85">
        <v>10</v>
      </c>
      <c r="N32" s="86">
        <v>0</v>
      </c>
      <c r="O32" s="81">
        <f t="shared" ca="1" si="0"/>
        <v>0</v>
      </c>
      <c r="P32" s="87">
        <v>15</v>
      </c>
      <c r="Q32" s="86">
        <v>3</v>
      </c>
      <c r="R32" s="81">
        <f t="shared" si="9"/>
        <v>120</v>
      </c>
      <c r="S32" s="85">
        <v>16</v>
      </c>
      <c r="T32" s="86">
        <v>3</v>
      </c>
      <c r="U32" s="81">
        <f t="shared" si="10"/>
        <v>750</v>
      </c>
      <c r="V32" s="82">
        <v>15</v>
      </c>
      <c r="W32" s="84"/>
      <c r="X32" s="188">
        <f>IF(B32&gt;'Spring Feed Budget'!$Q$5,'Spring Feed Budget'!$Q$6,X31-$X$16)</f>
        <v>2400.0000000000023</v>
      </c>
      <c r="Y32" s="189">
        <f t="shared" si="1"/>
        <v>26.131425290697543</v>
      </c>
      <c r="Z32" s="190">
        <f>IF(B32&gt;'Spring Feed Budget'!$Q$5,'Spring Feed Budget'!$Q$7,Z31-$Z$16)</f>
        <v>84.200000000000088</v>
      </c>
      <c r="AA32" s="83"/>
      <c r="AB32" s="182">
        <f ca="1">(M32*G32+P31*H32+S32*I32+J32*F32)/1000</f>
        <v>5.66</v>
      </c>
      <c r="AC32" s="183">
        <f t="shared" si="3"/>
        <v>3.2499999999999774</v>
      </c>
      <c r="AD32" s="184">
        <f t="shared" ca="1" si="4"/>
        <v>1.08</v>
      </c>
      <c r="AE32" s="185">
        <f t="shared" ca="1" si="11"/>
        <v>2281.2133333333336</v>
      </c>
      <c r="AF32" s="184">
        <f t="shared" ca="1" si="12"/>
        <v>-118.78666666666868</v>
      </c>
      <c r="AG32" s="186"/>
      <c r="AH32" s="96"/>
    </row>
    <row r="33" spans="1:34" x14ac:dyDescent="0.2">
      <c r="A33" s="64">
        <f t="shared" si="5"/>
        <v>0</v>
      </c>
      <c r="B33" s="187">
        <f t="shared" si="13"/>
        <v>42582</v>
      </c>
      <c r="C33" s="74"/>
      <c r="D33" s="224">
        <v>10</v>
      </c>
      <c r="E33" s="240">
        <f t="shared" ca="1" si="14"/>
        <v>200</v>
      </c>
      <c r="F33" s="219">
        <f t="shared" ca="1" si="6"/>
        <v>20</v>
      </c>
      <c r="G33" s="220">
        <f t="shared" ca="1" si="7"/>
        <v>70</v>
      </c>
      <c r="H33" s="221">
        <f t="shared" si="15"/>
        <v>40</v>
      </c>
      <c r="I33" s="241">
        <f>SUM($D$16:D28)+$I$17+$H$17</f>
        <v>260</v>
      </c>
      <c r="J33" s="232">
        <v>12</v>
      </c>
      <c r="K33" s="86">
        <v>7</v>
      </c>
      <c r="L33" s="81">
        <f t="shared" ca="1" si="8"/>
        <v>140</v>
      </c>
      <c r="M33" s="85">
        <v>10</v>
      </c>
      <c r="N33" s="86">
        <v>0</v>
      </c>
      <c r="O33" s="81">
        <f t="shared" ca="1" si="0"/>
        <v>0</v>
      </c>
      <c r="P33" s="87">
        <v>15</v>
      </c>
      <c r="Q33" s="86">
        <v>3</v>
      </c>
      <c r="R33" s="81">
        <f t="shared" si="9"/>
        <v>120</v>
      </c>
      <c r="S33" s="85">
        <v>16</v>
      </c>
      <c r="T33" s="86">
        <v>3</v>
      </c>
      <c r="U33" s="81">
        <f t="shared" si="10"/>
        <v>780</v>
      </c>
      <c r="V33" s="82">
        <v>15</v>
      </c>
      <c r="W33" s="84"/>
      <c r="X33" s="188">
        <f>IF(B33&gt;'Spring Feed Budget'!$Q$5,'Spring Feed Budget'!$Q$6,X32-$X$16)</f>
        <v>2393.3333333333358</v>
      </c>
      <c r="Y33" s="189">
        <f t="shared" si="1"/>
        <v>27.935466342653925</v>
      </c>
      <c r="Z33" s="190">
        <f>IF(B33&gt;'Spring Feed Budget'!$Q$5,'Spring Feed Budget'!$Q$7,Z32-$Z$16)</f>
        <v>83.146666666666761</v>
      </c>
      <c r="AA33" s="83"/>
      <c r="AB33" s="182">
        <f ca="1">(M33*G33+P31*H33+S33*I33+J33*F33)/1000</f>
        <v>5.7</v>
      </c>
      <c r="AC33" s="183">
        <f t="shared" si="3"/>
        <v>3.2499999999999774</v>
      </c>
      <c r="AD33" s="184">
        <f t="shared" ca="1" si="4"/>
        <v>1.04</v>
      </c>
      <c r="AE33" s="185">
        <f t="shared" ca="1" si="11"/>
        <v>2265.6800000000003</v>
      </c>
      <c r="AF33" s="184">
        <f t="shared" ca="1" si="12"/>
        <v>-127.65333333333547</v>
      </c>
      <c r="AG33" s="186"/>
      <c r="AH33" s="96"/>
    </row>
    <row r="34" spans="1:34" x14ac:dyDescent="0.2">
      <c r="A34" s="64">
        <f t="shared" si="5"/>
        <v>0</v>
      </c>
      <c r="B34" s="187">
        <f t="shared" si="13"/>
        <v>42583</v>
      </c>
      <c r="C34" s="74">
        <v>100</v>
      </c>
      <c r="D34" s="224">
        <v>10</v>
      </c>
      <c r="E34" s="240">
        <f t="shared" ca="1" si="14"/>
        <v>200</v>
      </c>
      <c r="F34" s="219">
        <f t="shared" ca="1" si="6"/>
        <v>10</v>
      </c>
      <c r="G34" s="220">
        <f t="shared" ca="1" si="7"/>
        <v>70</v>
      </c>
      <c r="H34" s="221">
        <f t="shared" si="15"/>
        <v>40</v>
      </c>
      <c r="I34" s="241">
        <f>SUM($D$16:D29)+$I$17+$H$17</f>
        <v>270</v>
      </c>
      <c r="J34" s="232">
        <v>12</v>
      </c>
      <c r="K34" s="86">
        <v>7</v>
      </c>
      <c r="L34" s="81">
        <f t="shared" ca="1" si="8"/>
        <v>70</v>
      </c>
      <c r="M34" s="85">
        <v>10</v>
      </c>
      <c r="N34" s="86">
        <v>0</v>
      </c>
      <c r="O34" s="81">
        <f t="shared" ca="1" si="0"/>
        <v>0</v>
      </c>
      <c r="P34" s="87">
        <v>15</v>
      </c>
      <c r="Q34" s="86">
        <v>3</v>
      </c>
      <c r="R34" s="81">
        <f t="shared" si="9"/>
        <v>120</v>
      </c>
      <c r="S34" s="85">
        <v>16</v>
      </c>
      <c r="T34" s="86">
        <v>3</v>
      </c>
      <c r="U34" s="81">
        <f t="shared" si="10"/>
        <v>810</v>
      </c>
      <c r="V34" s="82">
        <v>15</v>
      </c>
      <c r="W34" s="84"/>
      <c r="X34" s="188">
        <f>IF(B34&gt;'Spring Feed Budget'!$Q$5,'Spring Feed Budget'!$Q$6,X33-$X$16)</f>
        <v>2386.6666666666692</v>
      </c>
      <c r="Y34" s="189">
        <f t="shared" si="1"/>
        <v>29.76265490851392</v>
      </c>
      <c r="Z34" s="190">
        <f>IF(B34&gt;'Spring Feed Budget'!$Q$5,'Spring Feed Budget'!$Q$7,Z33-$Z$16)</f>
        <v>82.093333333333433</v>
      </c>
      <c r="AA34" s="83"/>
      <c r="AB34" s="182">
        <f ca="1">(M34*G34+P31*H34+S34*I34+J34*F34)/1000</f>
        <v>5.74</v>
      </c>
      <c r="AC34" s="183">
        <f t="shared" si="3"/>
        <v>3.2499999999999774</v>
      </c>
      <c r="AD34" s="184">
        <f t="shared" ca="1" si="4"/>
        <v>1</v>
      </c>
      <c r="AE34" s="185">
        <f t="shared" ca="1" si="11"/>
        <v>2249.6133333333337</v>
      </c>
      <c r="AF34" s="184">
        <f t="shared" ca="1" si="12"/>
        <v>-137.05333333333556</v>
      </c>
      <c r="AG34" s="186"/>
      <c r="AH34" s="96"/>
    </row>
    <row r="35" spans="1:34" s="2" customFormat="1" x14ac:dyDescent="0.2">
      <c r="A35" s="64">
        <f t="shared" si="5"/>
        <v>0</v>
      </c>
      <c r="B35" s="187">
        <f t="shared" si="13"/>
        <v>42584</v>
      </c>
      <c r="C35" s="74"/>
      <c r="D35" s="224">
        <v>10</v>
      </c>
      <c r="E35" s="240">
        <f t="shared" ca="1" si="14"/>
        <v>100</v>
      </c>
      <c r="F35" s="219">
        <f t="shared" ca="1" si="6"/>
        <v>100</v>
      </c>
      <c r="G35" s="220">
        <f t="shared" ca="1" si="7"/>
        <v>70</v>
      </c>
      <c r="H35" s="221">
        <f t="shared" si="15"/>
        <v>40</v>
      </c>
      <c r="I35" s="241">
        <f>SUM($D$16:D30)+$I$17+$H$17</f>
        <v>280</v>
      </c>
      <c r="J35" s="232">
        <v>12</v>
      </c>
      <c r="K35" s="86">
        <v>7</v>
      </c>
      <c r="L35" s="81">
        <f t="shared" ca="1" si="8"/>
        <v>700</v>
      </c>
      <c r="M35" s="85">
        <v>10</v>
      </c>
      <c r="N35" s="86">
        <v>0</v>
      </c>
      <c r="O35" s="81">
        <f t="shared" ca="1" si="0"/>
        <v>0</v>
      </c>
      <c r="P35" s="87">
        <v>15</v>
      </c>
      <c r="Q35" s="86">
        <v>3</v>
      </c>
      <c r="R35" s="81">
        <f t="shared" si="9"/>
        <v>120</v>
      </c>
      <c r="S35" s="85">
        <v>16</v>
      </c>
      <c r="T35" s="86">
        <v>3</v>
      </c>
      <c r="U35" s="81">
        <f t="shared" si="10"/>
        <v>840</v>
      </c>
      <c r="V35" s="82">
        <v>15</v>
      </c>
      <c r="W35" s="84"/>
      <c r="X35" s="188">
        <f>IF(B35&gt;'Spring Feed Budget'!$Q$5,'Spring Feed Budget'!$Q$6,X34-$X$16)</f>
        <v>2380.0000000000027</v>
      </c>
      <c r="Y35" s="189">
        <f t="shared" si="1"/>
        <v>31.613592717003552</v>
      </c>
      <c r="Z35" s="190">
        <f>IF(B35&gt;'Spring Feed Budget'!$Q$5,'Spring Feed Budget'!$Q$7,Z34-$Z$16)</f>
        <v>81.040000000000106</v>
      </c>
      <c r="AA35" s="83"/>
      <c r="AB35" s="182">
        <f ca="1">(M35*G35+P31*H35+S35*I35+J35*F35)/1000</f>
        <v>6.98</v>
      </c>
      <c r="AC35" s="183">
        <f t="shared" si="3"/>
        <v>3.2499999999999774</v>
      </c>
      <c r="AD35" s="184">
        <f t="shared" ca="1" si="4"/>
        <v>1.66</v>
      </c>
      <c r="AE35" s="185">
        <f t="shared" ca="1" si="11"/>
        <v>2233.0133333333338</v>
      </c>
      <c r="AF35" s="184">
        <f t="shared" ca="1" si="12"/>
        <v>-146.98666666666895</v>
      </c>
      <c r="AG35" s="186"/>
      <c r="AH35" s="107"/>
    </row>
    <row r="36" spans="1:34" x14ac:dyDescent="0.2">
      <c r="A36" s="64">
        <f t="shared" si="5"/>
        <v>0</v>
      </c>
      <c r="B36" s="187">
        <f t="shared" si="13"/>
        <v>42585</v>
      </c>
      <c r="C36" s="74"/>
      <c r="D36" s="224">
        <v>10</v>
      </c>
      <c r="E36" s="240">
        <f t="shared" ca="1" si="14"/>
        <v>100</v>
      </c>
      <c r="F36" s="219">
        <f t="shared" ca="1" si="6"/>
        <v>90</v>
      </c>
      <c r="G36" s="220">
        <f t="shared" ca="1" si="7"/>
        <v>70</v>
      </c>
      <c r="H36" s="221">
        <f t="shared" si="15"/>
        <v>40</v>
      </c>
      <c r="I36" s="241">
        <f>SUM($D$16:D31)+$I$17+$H$17</f>
        <v>290</v>
      </c>
      <c r="J36" s="232">
        <v>12</v>
      </c>
      <c r="K36" s="86">
        <v>7</v>
      </c>
      <c r="L36" s="81">
        <f t="shared" ca="1" si="8"/>
        <v>630</v>
      </c>
      <c r="M36" s="85">
        <v>10</v>
      </c>
      <c r="N36" s="86">
        <v>0</v>
      </c>
      <c r="O36" s="81">
        <f t="shared" ca="1" si="0"/>
        <v>0</v>
      </c>
      <c r="P36" s="87">
        <v>15</v>
      </c>
      <c r="Q36" s="86">
        <v>3</v>
      </c>
      <c r="R36" s="81">
        <f t="shared" si="9"/>
        <v>120</v>
      </c>
      <c r="S36" s="85">
        <v>16</v>
      </c>
      <c r="T36" s="86">
        <v>3</v>
      </c>
      <c r="U36" s="81">
        <f t="shared" si="10"/>
        <v>870</v>
      </c>
      <c r="V36" s="82">
        <v>15</v>
      </c>
      <c r="W36" s="84"/>
      <c r="X36" s="188">
        <f>IF(B36&gt;'Spring Feed Budget'!$Q$5,'Spring Feed Budget'!$Q$6,X35-$X$16)</f>
        <v>2373.3333333333362</v>
      </c>
      <c r="Y36" s="189">
        <f t="shared" si="1"/>
        <v>33.488905269095568</v>
      </c>
      <c r="Z36" s="190">
        <f>IF(B36&gt;'Spring Feed Budget'!$Q$5,'Spring Feed Budget'!$Q$7,Z35-$Z$16)</f>
        <v>79.986666666666778</v>
      </c>
      <c r="AA36" s="83"/>
      <c r="AB36" s="182">
        <f ca="1">(M36*G36+P31*H36+S36*I36+J36*F36)/1000</f>
        <v>7.02</v>
      </c>
      <c r="AC36" s="183">
        <f t="shared" si="3"/>
        <v>3.2499999999999774</v>
      </c>
      <c r="AD36" s="184">
        <f t="shared" ca="1" si="4"/>
        <v>1.62</v>
      </c>
      <c r="AE36" s="185">
        <f t="shared" ca="1" si="11"/>
        <v>2212.5466666666671</v>
      </c>
      <c r="AF36" s="184">
        <f t="shared" ca="1" si="12"/>
        <v>-160.78666666666913</v>
      </c>
      <c r="AG36" s="186"/>
      <c r="AH36" s="96"/>
    </row>
    <row r="37" spans="1:34" x14ac:dyDescent="0.2">
      <c r="A37" s="64">
        <f t="shared" si="5"/>
        <v>0</v>
      </c>
      <c r="B37" s="187">
        <f t="shared" si="13"/>
        <v>42586</v>
      </c>
      <c r="C37" s="74"/>
      <c r="D37" s="224">
        <v>10</v>
      </c>
      <c r="E37" s="240">
        <f t="shared" ca="1" si="14"/>
        <v>100</v>
      </c>
      <c r="F37" s="219">
        <f t="shared" ca="1" si="6"/>
        <v>85</v>
      </c>
      <c r="G37" s="220">
        <f t="shared" ca="1" si="7"/>
        <v>65</v>
      </c>
      <c r="H37" s="221">
        <f t="shared" si="15"/>
        <v>40</v>
      </c>
      <c r="I37" s="241">
        <f>SUM($D$16:D32)+$I$17+$H$17</f>
        <v>300</v>
      </c>
      <c r="J37" s="232">
        <v>12</v>
      </c>
      <c r="K37" s="86">
        <v>7</v>
      </c>
      <c r="L37" s="81">
        <f t="shared" ca="1" si="8"/>
        <v>595</v>
      </c>
      <c r="M37" s="85">
        <v>10</v>
      </c>
      <c r="N37" s="86">
        <v>0</v>
      </c>
      <c r="O37" s="81">
        <f t="shared" ca="1" si="0"/>
        <v>0</v>
      </c>
      <c r="P37" s="87">
        <v>15</v>
      </c>
      <c r="Q37" s="86">
        <v>3</v>
      </c>
      <c r="R37" s="81">
        <f t="shared" si="9"/>
        <v>120</v>
      </c>
      <c r="S37" s="85">
        <v>16.5</v>
      </c>
      <c r="T37" s="86">
        <v>3</v>
      </c>
      <c r="U37" s="81">
        <f t="shared" si="10"/>
        <v>900</v>
      </c>
      <c r="V37" s="82">
        <v>15</v>
      </c>
      <c r="W37" s="84"/>
      <c r="X37" s="188">
        <f>IF(B37&gt;'Spring Feed Budget'!$Q$5,'Spring Feed Budget'!$Q$6,X36-$X$16)</f>
        <v>2366.6666666666697</v>
      </c>
      <c r="Y37" s="189">
        <f t="shared" si="1"/>
        <v>35.389243106933407</v>
      </c>
      <c r="Z37" s="190">
        <f>IF(B37&gt;'Spring Feed Budget'!$Q$5,'Spring Feed Budget'!$Q$7,Z36-$Z$16)</f>
        <v>78.933333333333451</v>
      </c>
      <c r="AA37" s="83"/>
      <c r="AB37" s="182">
        <f ca="1">(M37*G37+P31*H37+S37*I37+J37*F37)/1000</f>
        <v>7.22</v>
      </c>
      <c r="AC37" s="183">
        <f t="shared" si="3"/>
        <v>3.2499999999999774</v>
      </c>
      <c r="AD37" s="184">
        <f t="shared" ca="1" si="4"/>
        <v>1.615</v>
      </c>
      <c r="AE37" s="185">
        <f t="shared" ca="1" si="11"/>
        <v>2191.5466666666671</v>
      </c>
      <c r="AF37" s="184">
        <f t="shared" ca="1" si="12"/>
        <v>-175.12000000000262</v>
      </c>
      <c r="AG37" s="186"/>
      <c r="AH37" s="96"/>
    </row>
    <row r="38" spans="1:34" x14ac:dyDescent="0.2">
      <c r="A38" s="64">
        <f t="shared" si="5"/>
        <v>0</v>
      </c>
      <c r="B38" s="187">
        <f t="shared" si="13"/>
        <v>42587</v>
      </c>
      <c r="C38" s="74"/>
      <c r="D38" s="224">
        <v>10</v>
      </c>
      <c r="E38" s="240">
        <f t="shared" ca="1" si="14"/>
        <v>100</v>
      </c>
      <c r="F38" s="219">
        <f t="shared" ca="1" si="6"/>
        <v>80</v>
      </c>
      <c r="G38" s="220">
        <f t="shared" ca="1" si="7"/>
        <v>60</v>
      </c>
      <c r="H38" s="221">
        <f t="shared" si="15"/>
        <v>40</v>
      </c>
      <c r="I38" s="241">
        <f>SUM($D$16:D33)+$I$17+$H$17</f>
        <v>310</v>
      </c>
      <c r="J38" s="232">
        <v>12</v>
      </c>
      <c r="K38" s="86">
        <v>7</v>
      </c>
      <c r="L38" s="81">
        <f t="shared" ca="1" si="8"/>
        <v>560</v>
      </c>
      <c r="M38" s="85">
        <v>10</v>
      </c>
      <c r="N38" s="86">
        <v>0</v>
      </c>
      <c r="O38" s="81">
        <f t="shared" ca="1" si="0"/>
        <v>0</v>
      </c>
      <c r="P38" s="87">
        <v>15</v>
      </c>
      <c r="Q38" s="86">
        <v>3</v>
      </c>
      <c r="R38" s="81">
        <f t="shared" si="9"/>
        <v>120</v>
      </c>
      <c r="S38" s="85">
        <v>16.5</v>
      </c>
      <c r="T38" s="86">
        <v>3</v>
      </c>
      <c r="U38" s="81">
        <f t="shared" si="10"/>
        <v>930</v>
      </c>
      <c r="V38" s="82">
        <v>20</v>
      </c>
      <c r="W38" s="84"/>
      <c r="X38" s="188">
        <f>IF(B38&gt;'Spring Feed Budget'!$Q$5,'Spring Feed Budget'!$Q$6,X37-$X$16)</f>
        <v>2360.0000000000032</v>
      </c>
      <c r="Y38" s="189">
        <f t="shared" si="1"/>
        <v>37.315283168566687</v>
      </c>
      <c r="Z38" s="190">
        <f>IF(B38&gt;'Spring Feed Budget'!$Q$5,'Spring Feed Budget'!$Q$7,Z37-$Z$16)</f>
        <v>77.880000000000123</v>
      </c>
      <c r="AA38" s="83"/>
      <c r="AB38" s="182">
        <f ca="1">(M38*G38+P38*H38+S38*I38+J38*F38)/1000</f>
        <v>7.2750000000000004</v>
      </c>
      <c r="AC38" s="183">
        <f t="shared" si="3"/>
        <v>3.9999999999999774</v>
      </c>
      <c r="AD38" s="184">
        <f t="shared" ca="1" si="4"/>
        <v>1.61</v>
      </c>
      <c r="AE38" s="185">
        <f t="shared" ca="1" si="11"/>
        <v>2169.1800000000003</v>
      </c>
      <c r="AF38" s="184">
        <f t="shared" ca="1" si="12"/>
        <v>-190.82000000000289</v>
      </c>
      <c r="AG38" s="186"/>
      <c r="AH38" s="96"/>
    </row>
    <row r="39" spans="1:34" x14ac:dyDescent="0.2">
      <c r="A39" s="64">
        <f t="shared" si="5"/>
        <v>1</v>
      </c>
      <c r="B39" s="187">
        <f t="shared" si="13"/>
        <v>42588</v>
      </c>
      <c r="C39" s="74"/>
      <c r="D39" s="224">
        <v>10</v>
      </c>
      <c r="E39" s="240">
        <f t="shared" ca="1" si="14"/>
        <v>100</v>
      </c>
      <c r="F39" s="219">
        <f t="shared" ca="1" si="6"/>
        <v>75</v>
      </c>
      <c r="G39" s="220">
        <f t="shared" ca="1" si="7"/>
        <v>55</v>
      </c>
      <c r="H39" s="221">
        <f t="shared" si="15"/>
        <v>40</v>
      </c>
      <c r="I39" s="241">
        <f>SUM($D$16:D34)+$I$17+$H$17</f>
        <v>320</v>
      </c>
      <c r="J39" s="232">
        <v>12</v>
      </c>
      <c r="K39" s="86">
        <v>7</v>
      </c>
      <c r="L39" s="81">
        <f t="shared" ca="1" si="8"/>
        <v>525</v>
      </c>
      <c r="M39" s="85">
        <v>10</v>
      </c>
      <c r="N39" s="86">
        <v>0</v>
      </c>
      <c r="O39" s="81">
        <f t="shared" ca="1" si="0"/>
        <v>0</v>
      </c>
      <c r="P39" s="87">
        <v>15</v>
      </c>
      <c r="Q39" s="86">
        <v>3</v>
      </c>
      <c r="R39" s="81">
        <f t="shared" si="9"/>
        <v>120</v>
      </c>
      <c r="S39" s="85">
        <v>16.5</v>
      </c>
      <c r="T39" s="86">
        <v>3</v>
      </c>
      <c r="U39" s="81">
        <f t="shared" si="10"/>
        <v>960</v>
      </c>
      <c r="V39" s="82">
        <v>20</v>
      </c>
      <c r="W39" s="84"/>
      <c r="X39" s="188">
        <f>IF(B39&gt;'Spring Feed Budget'!$Q$5,'Spring Feed Budget'!$Q$6,X38-$X$16)</f>
        <v>2353.3333333333367</v>
      </c>
      <c r="Y39" s="189">
        <f t="shared" si="1"/>
        <v>39.267730235557309</v>
      </c>
      <c r="Z39" s="190">
        <f>IF(B39&gt;'Spring Feed Budget'!$Q$5,'Spring Feed Budget'!$Q$7,Z38-$Z$16)</f>
        <v>76.826666666666796</v>
      </c>
      <c r="AA39" s="83"/>
      <c r="AB39" s="182">
        <f ca="1">(M39*G39+P38*H39+S39*I39+J39*F39)/1000</f>
        <v>7.33</v>
      </c>
      <c r="AC39" s="183">
        <f t="shared" si="3"/>
        <v>3.9999999999999774</v>
      </c>
      <c r="AD39" s="184">
        <f t="shared" ca="1" si="4"/>
        <v>1.605</v>
      </c>
      <c r="AE39" s="185">
        <f t="shared" ca="1" si="11"/>
        <v>2151.4133333333334</v>
      </c>
      <c r="AF39" s="184">
        <f t="shared" ca="1" si="12"/>
        <v>-201.92000000000326</v>
      </c>
      <c r="AG39" s="186"/>
      <c r="AH39" s="96"/>
    </row>
    <row r="40" spans="1:34" x14ac:dyDescent="0.2">
      <c r="A40" s="64">
        <f t="shared" si="5"/>
        <v>1</v>
      </c>
      <c r="B40" s="187">
        <f t="shared" si="13"/>
        <v>42589</v>
      </c>
      <c r="C40" s="74"/>
      <c r="D40" s="224">
        <v>10</v>
      </c>
      <c r="E40" s="240">
        <f t="shared" ca="1" si="14"/>
        <v>100</v>
      </c>
      <c r="F40" s="219">
        <f t="shared" ca="1" si="6"/>
        <v>70</v>
      </c>
      <c r="G40" s="220">
        <f t="shared" ca="1" si="7"/>
        <v>50</v>
      </c>
      <c r="H40" s="221">
        <f t="shared" si="15"/>
        <v>40</v>
      </c>
      <c r="I40" s="241">
        <f>SUM($D$16:D35)+$I$17+$H$17</f>
        <v>330</v>
      </c>
      <c r="J40" s="232">
        <v>12</v>
      </c>
      <c r="K40" s="86">
        <v>7</v>
      </c>
      <c r="L40" s="81">
        <f t="shared" ca="1" si="8"/>
        <v>490</v>
      </c>
      <c r="M40" s="85">
        <v>10</v>
      </c>
      <c r="N40" s="86">
        <v>0</v>
      </c>
      <c r="O40" s="81">
        <f t="shared" ca="1" si="0"/>
        <v>0</v>
      </c>
      <c r="P40" s="87">
        <v>15</v>
      </c>
      <c r="Q40" s="86">
        <v>3</v>
      </c>
      <c r="R40" s="81">
        <f t="shared" si="9"/>
        <v>120</v>
      </c>
      <c r="S40" s="85">
        <v>16.5</v>
      </c>
      <c r="T40" s="86">
        <v>3</v>
      </c>
      <c r="U40" s="81">
        <f t="shared" si="10"/>
        <v>990</v>
      </c>
      <c r="V40" s="82">
        <v>20</v>
      </c>
      <c r="W40" s="84"/>
      <c r="X40" s="188">
        <f>IF(B40&gt;'Spring Feed Budget'!$Q$5,'Spring Feed Budget'!$Q$6,X39-$X$16)</f>
        <v>2346.6666666666702</v>
      </c>
      <c r="Y40" s="189">
        <f t="shared" si="1"/>
        <v>41.247318481202214</v>
      </c>
      <c r="Z40" s="190">
        <f>IF(B40&gt;'Spring Feed Budget'!$Q$5,'Spring Feed Budget'!$Q$7,Z39-$Z$16)</f>
        <v>75.773333333333468</v>
      </c>
      <c r="AA40" s="83"/>
      <c r="AB40" s="182">
        <f ca="1">(M40*G40+P38*H40+S40*I40+J40*F40)/1000</f>
        <v>7.3849999999999998</v>
      </c>
      <c r="AC40" s="183">
        <f t="shared" si="3"/>
        <v>3.9999999999999774</v>
      </c>
      <c r="AD40" s="184">
        <f t="shared" ca="1" si="4"/>
        <v>1.6</v>
      </c>
      <c r="AE40" s="185">
        <f t="shared" ca="1" si="11"/>
        <v>2133.2466666666669</v>
      </c>
      <c r="AF40" s="184">
        <f t="shared" ca="1" si="12"/>
        <v>-213.42000000000326</v>
      </c>
      <c r="AG40" s="186"/>
      <c r="AH40" s="96"/>
    </row>
    <row r="41" spans="1:34" x14ac:dyDescent="0.2">
      <c r="A41" s="64">
        <f t="shared" si="5"/>
        <v>1</v>
      </c>
      <c r="B41" s="187">
        <f t="shared" si="13"/>
        <v>42590</v>
      </c>
      <c r="C41" s="74"/>
      <c r="D41" s="224">
        <v>10</v>
      </c>
      <c r="E41" s="240">
        <f t="shared" ca="1" si="14"/>
        <v>100</v>
      </c>
      <c r="F41" s="219">
        <f t="shared" ca="1" si="6"/>
        <v>65</v>
      </c>
      <c r="G41" s="220">
        <f t="shared" ca="1" si="7"/>
        <v>45</v>
      </c>
      <c r="H41" s="221">
        <f t="shared" si="15"/>
        <v>40</v>
      </c>
      <c r="I41" s="241">
        <f>SUM($D$16:D36)+$I$17+$H$17</f>
        <v>340</v>
      </c>
      <c r="J41" s="232">
        <v>12</v>
      </c>
      <c r="K41" s="86">
        <v>7</v>
      </c>
      <c r="L41" s="81">
        <f t="shared" ca="1" si="8"/>
        <v>455</v>
      </c>
      <c r="M41" s="85">
        <v>10</v>
      </c>
      <c r="N41" s="86">
        <v>0</v>
      </c>
      <c r="O41" s="81">
        <f t="shared" ca="1" si="0"/>
        <v>0</v>
      </c>
      <c r="P41" s="87">
        <v>15</v>
      </c>
      <c r="Q41" s="86">
        <v>3</v>
      </c>
      <c r="R41" s="81">
        <f t="shared" si="9"/>
        <v>120</v>
      </c>
      <c r="S41" s="85">
        <v>16.5</v>
      </c>
      <c r="T41" s="86">
        <v>3</v>
      </c>
      <c r="U41" s="81">
        <f t="shared" si="10"/>
        <v>1020</v>
      </c>
      <c r="V41" s="82">
        <v>20</v>
      </c>
      <c r="W41" s="84"/>
      <c r="X41" s="188">
        <f>IF(B41&gt;'Spring Feed Budget'!$Q$5,'Spring Feed Budget'!$Q$6,X40-$X$16)</f>
        <v>2340.0000000000036</v>
      </c>
      <c r="Y41" s="189">
        <f t="shared" si="1"/>
        <v>43.254813127883153</v>
      </c>
      <c r="Z41" s="190">
        <f>IF(B41&gt;'Spring Feed Budget'!$Q$5,'Spring Feed Budget'!$Q$7,Z40-$Z$16)</f>
        <v>74.720000000000141</v>
      </c>
      <c r="AA41" s="83"/>
      <c r="AB41" s="182">
        <f ca="1">(M41*G41+P38*H41+S41*I41+J41*F41)/1000</f>
        <v>7.44</v>
      </c>
      <c r="AC41" s="183">
        <f t="shared" si="3"/>
        <v>3.9999999999999774</v>
      </c>
      <c r="AD41" s="184">
        <f t="shared" ca="1" si="4"/>
        <v>1.595</v>
      </c>
      <c r="AE41" s="185">
        <f t="shared" ca="1" si="11"/>
        <v>2114.6800000000003</v>
      </c>
      <c r="AF41" s="184">
        <f t="shared" ca="1" si="12"/>
        <v>-225.32000000000335</v>
      </c>
      <c r="AG41" s="186"/>
      <c r="AH41" s="96"/>
    </row>
    <row r="42" spans="1:34" x14ac:dyDescent="0.2">
      <c r="A42" s="64">
        <f t="shared" si="5"/>
        <v>1</v>
      </c>
      <c r="B42" s="187">
        <f t="shared" si="13"/>
        <v>42591</v>
      </c>
      <c r="C42" s="74"/>
      <c r="D42" s="224">
        <v>10</v>
      </c>
      <c r="E42" s="240">
        <f t="shared" ca="1" si="14"/>
        <v>100</v>
      </c>
      <c r="F42" s="219">
        <f t="shared" ca="1" si="6"/>
        <v>60</v>
      </c>
      <c r="G42" s="220">
        <f t="shared" ca="1" si="7"/>
        <v>40</v>
      </c>
      <c r="H42" s="221">
        <f t="shared" si="15"/>
        <v>40</v>
      </c>
      <c r="I42" s="241">
        <f>SUM($D$16:D37)+$I$17+$H$17</f>
        <v>350</v>
      </c>
      <c r="J42" s="232">
        <v>12</v>
      </c>
      <c r="K42" s="86">
        <v>7</v>
      </c>
      <c r="L42" s="81">
        <f t="shared" ca="1" si="8"/>
        <v>420</v>
      </c>
      <c r="M42" s="85">
        <v>10</v>
      </c>
      <c r="N42" s="86">
        <v>0</v>
      </c>
      <c r="O42" s="81">
        <f t="shared" ca="1" si="0"/>
        <v>0</v>
      </c>
      <c r="P42" s="87">
        <v>15</v>
      </c>
      <c r="Q42" s="86">
        <v>3</v>
      </c>
      <c r="R42" s="81">
        <f t="shared" si="9"/>
        <v>120</v>
      </c>
      <c r="S42" s="85">
        <v>16.5</v>
      </c>
      <c r="T42" s="86">
        <v>3</v>
      </c>
      <c r="U42" s="81">
        <f t="shared" si="10"/>
        <v>1050</v>
      </c>
      <c r="V42" s="82">
        <v>20</v>
      </c>
      <c r="W42" s="84"/>
      <c r="X42" s="188">
        <f>IF(B42&gt;'Spring Feed Budget'!$Q$5,'Spring Feed Budget'!$Q$6,X41-$X$16)</f>
        <v>2333.3333333333371</v>
      </c>
      <c r="Y42" s="189">
        <f t="shared" si="1"/>
        <v>45.291012222905771</v>
      </c>
      <c r="Z42" s="190">
        <f>IF(B42&gt;'Spring Feed Budget'!$Q$5,'Spring Feed Budget'!$Q$7,Z41-$Z$16)</f>
        <v>73.666666666666814</v>
      </c>
      <c r="AA42" s="83"/>
      <c r="AB42" s="182">
        <f ca="1">(M42*G42+P38*H42+S42*I42+J42*F42)/1000</f>
        <v>7.4950000000000001</v>
      </c>
      <c r="AC42" s="183">
        <f t="shared" si="3"/>
        <v>3.9999999999999774</v>
      </c>
      <c r="AD42" s="184">
        <f t="shared" ca="1" si="4"/>
        <v>1.59</v>
      </c>
      <c r="AE42" s="185">
        <f t="shared" ca="1" si="11"/>
        <v>2095.7133333333336</v>
      </c>
      <c r="AF42" s="184">
        <f t="shared" ca="1" si="12"/>
        <v>-237.62000000000353</v>
      </c>
      <c r="AG42" s="186"/>
      <c r="AH42" s="96"/>
    </row>
    <row r="43" spans="1:34" x14ac:dyDescent="0.2">
      <c r="A43" s="64">
        <f t="shared" si="5"/>
        <v>1</v>
      </c>
      <c r="B43" s="187">
        <f t="shared" si="13"/>
        <v>42592</v>
      </c>
      <c r="C43" s="74"/>
      <c r="D43" s="225">
        <v>5</v>
      </c>
      <c r="E43" s="240">
        <f t="shared" ca="1" si="14"/>
        <v>100</v>
      </c>
      <c r="F43" s="219">
        <f t="shared" ca="1" si="6"/>
        <v>55</v>
      </c>
      <c r="G43" s="220">
        <f t="shared" ca="1" si="7"/>
        <v>35</v>
      </c>
      <c r="H43" s="221">
        <f t="shared" si="15"/>
        <v>40</v>
      </c>
      <c r="I43" s="241">
        <f>SUM($D$16:D38)+$I$17+$H$17</f>
        <v>360</v>
      </c>
      <c r="J43" s="232">
        <v>12</v>
      </c>
      <c r="K43" s="86">
        <v>7</v>
      </c>
      <c r="L43" s="81">
        <f t="shared" ca="1" si="8"/>
        <v>385</v>
      </c>
      <c r="M43" s="85">
        <v>10</v>
      </c>
      <c r="N43" s="86">
        <v>0</v>
      </c>
      <c r="O43" s="81">
        <f t="shared" ca="1" si="0"/>
        <v>0</v>
      </c>
      <c r="P43" s="87">
        <v>15</v>
      </c>
      <c r="Q43" s="86">
        <v>3</v>
      </c>
      <c r="R43" s="81">
        <f t="shared" si="9"/>
        <v>120</v>
      </c>
      <c r="S43" s="85">
        <v>16.5</v>
      </c>
      <c r="T43" s="86">
        <v>3</v>
      </c>
      <c r="U43" s="81">
        <f t="shared" si="10"/>
        <v>1080</v>
      </c>
      <c r="V43" s="82">
        <v>20</v>
      </c>
      <c r="W43" s="84"/>
      <c r="X43" s="188">
        <f>IF(B43&gt;'Spring Feed Budget'!$Q$5,'Spring Feed Budget'!$Q$6,X42-$X$16)</f>
        <v>2326.6666666666706</v>
      </c>
      <c r="Y43" s="189">
        <f t="shared" si="1"/>
        <v>47.356748543140803</v>
      </c>
      <c r="Z43" s="190">
        <f>IF(B43&gt;'Spring Feed Budget'!$Q$5,'Spring Feed Budget'!$Q$7,Z42-$Z$16)</f>
        <v>72.613333333333486</v>
      </c>
      <c r="AA43" s="83"/>
      <c r="AB43" s="182">
        <f ca="1">(M43*G43+P38*H43+S43*I43+J43*F43)/1000</f>
        <v>7.55</v>
      </c>
      <c r="AC43" s="183">
        <f t="shared" si="3"/>
        <v>3.9999999999999774</v>
      </c>
      <c r="AD43" s="184">
        <f t="shared" ca="1" si="4"/>
        <v>1.585</v>
      </c>
      <c r="AE43" s="185">
        <f t="shared" ca="1" si="11"/>
        <v>2076.3466666666668</v>
      </c>
      <c r="AF43" s="184">
        <f t="shared" ca="1" si="12"/>
        <v>-250.3200000000038</v>
      </c>
      <c r="AG43" s="186"/>
      <c r="AH43" s="96"/>
    </row>
    <row r="44" spans="1:34" x14ac:dyDescent="0.2">
      <c r="A44" s="64">
        <f t="shared" si="5"/>
        <v>1</v>
      </c>
      <c r="B44" s="187">
        <f>B43+1</f>
        <v>42593</v>
      </c>
      <c r="C44" s="74"/>
      <c r="D44" s="225">
        <v>5</v>
      </c>
      <c r="E44" s="240">
        <f t="shared" ca="1" si="14"/>
        <v>100</v>
      </c>
      <c r="F44" s="219">
        <f t="shared" ca="1" si="6"/>
        <v>50</v>
      </c>
      <c r="G44" s="220">
        <f t="shared" ca="1" si="7"/>
        <v>35</v>
      </c>
      <c r="H44" s="221">
        <f t="shared" si="15"/>
        <v>35</v>
      </c>
      <c r="I44" s="241">
        <f>SUM($D$16:D39)+$I$17+$H$17</f>
        <v>370</v>
      </c>
      <c r="J44" s="232">
        <v>12</v>
      </c>
      <c r="K44" s="86">
        <v>7</v>
      </c>
      <c r="L44" s="81">
        <f t="shared" ca="1" si="8"/>
        <v>350</v>
      </c>
      <c r="M44" s="85">
        <v>10</v>
      </c>
      <c r="N44" s="86">
        <v>0</v>
      </c>
      <c r="O44" s="81">
        <f t="shared" ca="1" si="0"/>
        <v>0</v>
      </c>
      <c r="P44" s="87">
        <v>15</v>
      </c>
      <c r="Q44" s="86">
        <v>3</v>
      </c>
      <c r="R44" s="81">
        <f t="shared" si="9"/>
        <v>105</v>
      </c>
      <c r="S44" s="85">
        <v>16.5</v>
      </c>
      <c r="T44" s="86">
        <v>3</v>
      </c>
      <c r="U44" s="81">
        <f t="shared" si="10"/>
        <v>1110</v>
      </c>
      <c r="V44" s="82">
        <v>20</v>
      </c>
      <c r="W44" s="84"/>
      <c r="X44" s="188">
        <f>IF(B44&gt;'Spring Feed Budget'!$Q$5,'Spring Feed Budget'!$Q$6,X43-$X$16)</f>
        <v>2320.0000000000041</v>
      </c>
      <c r="Y44" s="189">
        <f t="shared" si="1"/>
        <v>49.452891639842868</v>
      </c>
      <c r="Z44" s="190">
        <f>IF(B44&gt;'Spring Feed Budget'!$Q$5,'Spring Feed Budget'!$Q$7,Z43-$Z$16)</f>
        <v>71.560000000000159</v>
      </c>
      <c r="AA44" s="83"/>
      <c r="AB44" s="182">
        <f ca="1">(M44*G44+P38*H44+S44*I44+J44*F44)/1000</f>
        <v>7.58</v>
      </c>
      <c r="AC44" s="183">
        <f t="shared" si="3"/>
        <v>3.9999999999999774</v>
      </c>
      <c r="AD44" s="184">
        <f t="shared" ca="1" si="4"/>
        <v>1.5649999999999999</v>
      </c>
      <c r="AE44" s="185">
        <f t="shared" ca="1" si="11"/>
        <v>2056.58</v>
      </c>
      <c r="AF44" s="184">
        <f t="shared" ca="1" si="12"/>
        <v>-263.42000000000417</v>
      </c>
      <c r="AG44" s="186"/>
      <c r="AH44" s="96"/>
    </row>
    <row r="45" spans="1:34" x14ac:dyDescent="0.2">
      <c r="A45" s="64">
        <f t="shared" si="5"/>
        <v>1</v>
      </c>
      <c r="B45" s="187">
        <f t="shared" si="13"/>
        <v>42594</v>
      </c>
      <c r="C45" s="74"/>
      <c r="D45" s="225">
        <v>5</v>
      </c>
      <c r="E45" s="240">
        <f t="shared" ca="1" si="14"/>
        <v>100</v>
      </c>
      <c r="F45" s="219">
        <f t="shared" ca="1" si="6"/>
        <v>45</v>
      </c>
      <c r="G45" s="220">
        <f t="shared" ca="1" si="7"/>
        <v>35</v>
      </c>
      <c r="H45" s="221">
        <f t="shared" si="15"/>
        <v>30</v>
      </c>
      <c r="I45" s="241">
        <f>SUM($D$16:D40)+$I$17+$H$17</f>
        <v>380</v>
      </c>
      <c r="J45" s="232">
        <v>12</v>
      </c>
      <c r="K45" s="86">
        <v>7</v>
      </c>
      <c r="L45" s="81">
        <f t="shared" ca="1" si="8"/>
        <v>315</v>
      </c>
      <c r="M45" s="85">
        <v>10</v>
      </c>
      <c r="N45" s="86">
        <v>0</v>
      </c>
      <c r="O45" s="81">
        <f t="shared" ca="1" si="0"/>
        <v>0</v>
      </c>
      <c r="P45" s="87">
        <v>15</v>
      </c>
      <c r="Q45" s="86">
        <v>3</v>
      </c>
      <c r="R45" s="81">
        <f t="shared" si="9"/>
        <v>90</v>
      </c>
      <c r="S45" s="85">
        <v>16.5</v>
      </c>
      <c r="T45" s="86">
        <v>3</v>
      </c>
      <c r="U45" s="81">
        <f t="shared" si="10"/>
        <v>1140</v>
      </c>
      <c r="V45" s="82">
        <v>25</v>
      </c>
      <c r="W45" s="84"/>
      <c r="X45" s="188">
        <f>IF(B45&gt;'Spring Feed Budget'!$Q$5,'Spring Feed Budget'!$Q$6,X44-$X$16)</f>
        <v>2313.3333333333376</v>
      </c>
      <c r="Y45" s="189">
        <f t="shared" si="1"/>
        <v>51.580350036212003</v>
      </c>
      <c r="Z45" s="190">
        <f>IF(B45&gt;'Spring Feed Budget'!$Q$5,'Spring Feed Budget'!$Q$7,Z44-$Z$16)</f>
        <v>70.506666666666831</v>
      </c>
      <c r="AA45" s="83"/>
      <c r="AB45" s="182">
        <f ca="1">(M45*G45+P45*H45+S45*I45+J45*F45)/1000</f>
        <v>7.61</v>
      </c>
      <c r="AC45" s="183">
        <f t="shared" si="3"/>
        <v>4.7499999999999769</v>
      </c>
      <c r="AD45" s="184">
        <f t="shared" ca="1" si="4"/>
        <v>1.5449999999999999</v>
      </c>
      <c r="AE45" s="185">
        <f t="shared" ca="1" si="11"/>
        <v>2036.48</v>
      </c>
      <c r="AF45" s="184">
        <f t="shared" ca="1" si="12"/>
        <v>-276.85333333333756</v>
      </c>
      <c r="AG45" s="186"/>
      <c r="AH45" s="96"/>
    </row>
    <row r="46" spans="1:34" x14ac:dyDescent="0.2">
      <c r="A46" s="64">
        <f t="shared" si="5"/>
        <v>1</v>
      </c>
      <c r="B46" s="187">
        <f t="shared" si="13"/>
        <v>42595</v>
      </c>
      <c r="C46" s="74"/>
      <c r="D46" s="225">
        <v>5</v>
      </c>
      <c r="E46" s="240">
        <f t="shared" ca="1" si="14"/>
        <v>100</v>
      </c>
      <c r="F46" s="219">
        <f t="shared" ca="1" si="6"/>
        <v>40</v>
      </c>
      <c r="G46" s="220">
        <f t="shared" ca="1" si="7"/>
        <v>35</v>
      </c>
      <c r="H46" s="221">
        <f t="shared" si="15"/>
        <v>25</v>
      </c>
      <c r="I46" s="241">
        <f>SUM($D$16:D41)+$I$17+$H$17</f>
        <v>390</v>
      </c>
      <c r="J46" s="232">
        <v>12</v>
      </c>
      <c r="K46" s="86">
        <v>7</v>
      </c>
      <c r="L46" s="81">
        <f t="shared" ca="1" si="8"/>
        <v>280</v>
      </c>
      <c r="M46" s="85">
        <v>10</v>
      </c>
      <c r="N46" s="86">
        <v>0</v>
      </c>
      <c r="O46" s="81">
        <f t="shared" ca="1" si="0"/>
        <v>0</v>
      </c>
      <c r="P46" s="87">
        <v>15</v>
      </c>
      <c r="Q46" s="86">
        <v>3</v>
      </c>
      <c r="R46" s="81">
        <f t="shared" si="9"/>
        <v>75</v>
      </c>
      <c r="S46" s="85">
        <v>17</v>
      </c>
      <c r="T46" s="86">
        <v>3</v>
      </c>
      <c r="U46" s="81">
        <f t="shared" si="10"/>
        <v>1170</v>
      </c>
      <c r="V46" s="82">
        <v>25</v>
      </c>
      <c r="W46" s="84"/>
      <c r="X46" s="188">
        <f>IF(B46&gt;'Spring Feed Budget'!$Q$5,'Spring Feed Budget'!$Q$6,X45-$X$16)</f>
        <v>2306.6666666666711</v>
      </c>
      <c r="Y46" s="189">
        <f t="shared" si="1"/>
        <v>53.740073591596911</v>
      </c>
      <c r="Z46" s="190">
        <f>IF(B46&gt;'Spring Feed Budget'!$Q$5,'Spring Feed Budget'!$Q$7,Z45-$Z$16)</f>
        <v>69.453333333333504</v>
      </c>
      <c r="AA46" s="83"/>
      <c r="AB46" s="182">
        <f ca="1">(M46*G46+P45*H46+S46*I46+J46*F46)/1000</f>
        <v>7.835</v>
      </c>
      <c r="AC46" s="183">
        <f t="shared" si="3"/>
        <v>4.7499999999999769</v>
      </c>
      <c r="AD46" s="184">
        <f t="shared" ca="1" si="4"/>
        <v>1.5249999999999999</v>
      </c>
      <c r="AE46" s="185">
        <f t="shared" ca="1" si="11"/>
        <v>2021.0466666666666</v>
      </c>
      <c r="AF46" s="184">
        <f t="shared" ca="1" si="12"/>
        <v>-285.62000000000444</v>
      </c>
      <c r="AG46" s="186"/>
      <c r="AH46" s="96"/>
    </row>
    <row r="47" spans="1:34" x14ac:dyDescent="0.2">
      <c r="A47" s="64">
        <f t="shared" si="5"/>
        <v>1</v>
      </c>
      <c r="B47" s="187">
        <f t="shared" si="13"/>
        <v>42596</v>
      </c>
      <c r="C47" s="74"/>
      <c r="D47" s="225">
        <v>5</v>
      </c>
      <c r="E47" s="240">
        <f t="shared" ca="1" si="14"/>
        <v>100</v>
      </c>
      <c r="F47" s="219">
        <f t="shared" ca="1" si="6"/>
        <v>35</v>
      </c>
      <c r="G47" s="220">
        <f t="shared" ca="1" si="7"/>
        <v>35</v>
      </c>
      <c r="H47" s="221">
        <f t="shared" si="15"/>
        <v>20</v>
      </c>
      <c r="I47" s="241">
        <f>SUM($D$16:D42)+$I$17+$H$17</f>
        <v>400</v>
      </c>
      <c r="J47" s="232">
        <v>12</v>
      </c>
      <c r="K47" s="86">
        <v>7</v>
      </c>
      <c r="L47" s="81">
        <f t="shared" ca="1" si="8"/>
        <v>245</v>
      </c>
      <c r="M47" s="85">
        <v>10</v>
      </c>
      <c r="N47" s="86">
        <v>0</v>
      </c>
      <c r="O47" s="81">
        <f t="shared" ca="1" si="0"/>
        <v>0</v>
      </c>
      <c r="P47" s="87">
        <v>15</v>
      </c>
      <c r="Q47" s="86">
        <v>3</v>
      </c>
      <c r="R47" s="81">
        <f t="shared" si="9"/>
        <v>60</v>
      </c>
      <c r="S47" s="85">
        <v>17</v>
      </c>
      <c r="T47" s="86">
        <v>3</v>
      </c>
      <c r="U47" s="81">
        <f t="shared" si="10"/>
        <v>1200</v>
      </c>
      <c r="V47" s="82">
        <v>25</v>
      </c>
      <c r="W47" s="84"/>
      <c r="X47" s="188">
        <f>IF(B47&gt;'Spring Feed Budget'!$Q$5,'Spring Feed Budget'!$Q$6,X46-$X$16)</f>
        <v>2300.0000000000045</v>
      </c>
      <c r="Y47" s="189">
        <f t="shared" si="1"/>
        <v>55.933056047737253</v>
      </c>
      <c r="Z47" s="190">
        <f>IF(B47&gt;'Spring Feed Budget'!$Q$5,'Spring Feed Budget'!$Q$7,Z46-$Z$16)</f>
        <v>68.400000000000176</v>
      </c>
      <c r="AA47" s="83"/>
      <c r="AB47" s="182">
        <f ca="1">(M47*G47+P45*H47+S47*I47+J47*F47)/1000</f>
        <v>7.87</v>
      </c>
      <c r="AC47" s="183">
        <f t="shared" si="3"/>
        <v>4.7499999999999769</v>
      </c>
      <c r="AD47" s="184">
        <f t="shared" ca="1" si="4"/>
        <v>1.5049999999999999</v>
      </c>
      <c r="AE47" s="185">
        <f t="shared" ca="1" si="11"/>
        <v>2003.98</v>
      </c>
      <c r="AF47" s="184">
        <f t="shared" ca="1" si="12"/>
        <v>-296.02000000000453</v>
      </c>
      <c r="AG47" s="186"/>
      <c r="AH47" s="96"/>
    </row>
    <row r="48" spans="1:34" x14ac:dyDescent="0.2">
      <c r="A48" s="64">
        <f t="shared" si="5"/>
        <v>1</v>
      </c>
      <c r="B48" s="187">
        <f t="shared" si="13"/>
        <v>42597</v>
      </c>
      <c r="C48" s="74">
        <v>100</v>
      </c>
      <c r="D48" s="225">
        <v>5</v>
      </c>
      <c r="E48" s="240">
        <f t="shared" ca="1" si="14"/>
        <v>100</v>
      </c>
      <c r="F48" s="219">
        <f t="shared" ca="1" si="6"/>
        <v>30</v>
      </c>
      <c r="G48" s="220">
        <f t="shared" ca="1" si="7"/>
        <v>35</v>
      </c>
      <c r="H48" s="221">
        <f t="shared" si="15"/>
        <v>20</v>
      </c>
      <c r="I48" s="241">
        <f>SUM($D$16:D43)+$I$17+$H$17</f>
        <v>405</v>
      </c>
      <c r="J48" s="232">
        <v>12</v>
      </c>
      <c r="K48" s="86">
        <v>7</v>
      </c>
      <c r="L48" s="81">
        <f t="shared" ca="1" si="8"/>
        <v>210</v>
      </c>
      <c r="M48" s="85">
        <v>10</v>
      </c>
      <c r="N48" s="86">
        <v>0</v>
      </c>
      <c r="O48" s="81">
        <f t="shared" ca="1" si="0"/>
        <v>0</v>
      </c>
      <c r="P48" s="87">
        <v>15</v>
      </c>
      <c r="Q48" s="86">
        <v>3</v>
      </c>
      <c r="R48" s="81">
        <f t="shared" si="9"/>
        <v>60</v>
      </c>
      <c r="S48" s="85">
        <v>17</v>
      </c>
      <c r="T48" s="86">
        <v>3</v>
      </c>
      <c r="U48" s="81">
        <f t="shared" si="10"/>
        <v>1215</v>
      </c>
      <c r="V48" s="82">
        <v>25</v>
      </c>
      <c r="W48" s="84"/>
      <c r="X48" s="188">
        <f>IF(B48&gt;'Spring Feed Budget'!$Q$5,'Spring Feed Budget'!$Q$6,X47-$X$16)</f>
        <v>2293.333333333338</v>
      </c>
      <c r="Y48" s="189">
        <f t="shared" si="1"/>
        <v>58.16033777412806</v>
      </c>
      <c r="Z48" s="190">
        <f>IF(B48&gt;'Spring Feed Budget'!$Q$5,'Spring Feed Budget'!$Q$7,Z47-$Z$16)</f>
        <v>67.346666666666849</v>
      </c>
      <c r="AA48" s="83"/>
      <c r="AB48" s="182">
        <f ca="1">(M48*G48+P45*H48+S48*I48+J48*F48)/1000</f>
        <v>7.8949999999999996</v>
      </c>
      <c r="AC48" s="183">
        <f t="shared" si="3"/>
        <v>4.7499999999999769</v>
      </c>
      <c r="AD48" s="184">
        <f t="shared" ca="1" si="4"/>
        <v>1.4850000000000001</v>
      </c>
      <c r="AE48" s="185">
        <f t="shared" ca="1" si="11"/>
        <v>1986.5466666666666</v>
      </c>
      <c r="AF48" s="184">
        <f t="shared" ca="1" si="12"/>
        <v>-306.78666666667141</v>
      </c>
      <c r="AG48" s="186"/>
      <c r="AH48" s="96"/>
    </row>
    <row r="49" spans="1:34" x14ac:dyDescent="0.2">
      <c r="A49" s="64">
        <f t="shared" ref="A49:A80" si="16">IF(Y49&lt;($D$5/4),0,IF(Y49&lt;($D$5/2),1,IF(Y49&lt;($D$5*0.75),2,IF(Y49&lt;$D$5,3,4))))</f>
        <v>1</v>
      </c>
      <c r="B49" s="187">
        <f t="shared" si="13"/>
        <v>42598</v>
      </c>
      <c r="C49" s="74"/>
      <c r="D49" s="225">
        <v>5</v>
      </c>
      <c r="E49" s="240">
        <f t="shared" ca="1" si="14"/>
        <v>0</v>
      </c>
      <c r="F49" s="219">
        <f t="shared" ca="1" si="6"/>
        <v>125</v>
      </c>
      <c r="G49" s="220">
        <f t="shared" ca="1" si="7"/>
        <v>35</v>
      </c>
      <c r="H49" s="221">
        <f t="shared" si="15"/>
        <v>20</v>
      </c>
      <c r="I49" s="241">
        <f>SUM($D$16:D44)+$I$17+$H$17</f>
        <v>410</v>
      </c>
      <c r="J49" s="232">
        <v>12</v>
      </c>
      <c r="K49" s="86">
        <v>7</v>
      </c>
      <c r="L49" s="81">
        <f t="shared" ca="1" si="8"/>
        <v>875</v>
      </c>
      <c r="M49" s="85">
        <v>10</v>
      </c>
      <c r="N49" s="86">
        <v>0</v>
      </c>
      <c r="O49" s="81">
        <f t="shared" ref="O49:O80" ca="1" si="17">N49*G49</f>
        <v>0</v>
      </c>
      <c r="P49" s="87">
        <v>15</v>
      </c>
      <c r="Q49" s="86">
        <v>3</v>
      </c>
      <c r="R49" s="81">
        <f t="shared" si="9"/>
        <v>60</v>
      </c>
      <c r="S49" s="85">
        <v>17</v>
      </c>
      <c r="T49" s="86">
        <v>3</v>
      </c>
      <c r="U49" s="81">
        <f t="shared" si="10"/>
        <v>1230</v>
      </c>
      <c r="V49" s="82">
        <v>25</v>
      </c>
      <c r="W49" s="84"/>
      <c r="X49" s="188">
        <f>IF(B49&gt;'Spring Feed Budget'!$Q$5,'Spring Feed Budget'!$Q$6,X48-$X$16)</f>
        <v>2286.6666666666715</v>
      </c>
      <c r="Y49" s="189">
        <f t="shared" ref="Y49:Y80" si="18">$D$5/Z49+Y48</f>
        <v>60.423008731489276</v>
      </c>
      <c r="Z49" s="190">
        <f>IF(B49&gt;'Spring Feed Budget'!$Q$5,'Spring Feed Budget'!$Q$7,Z48-$Z$16)</f>
        <v>66.293333333333521</v>
      </c>
      <c r="AA49" s="83"/>
      <c r="AB49" s="182">
        <f ca="1">(M49*G49+P45*H49+S49*I49+J49*F49)/1000</f>
        <v>9.1199999999999992</v>
      </c>
      <c r="AC49" s="183">
        <f t="shared" ref="AC49:AC80" si="19">IF(W49="",(X49-X50+V49)*$D$5/1000,(W49-X50+V49)*$D$5/1000)</f>
        <v>4.7499999999999769</v>
      </c>
      <c r="AD49" s="184">
        <f t="shared" ref="AD49:AD80" ca="1" si="20">(N49*G49+Q49*H49+T49*I49+K49*F49)/1000</f>
        <v>2.165</v>
      </c>
      <c r="AE49" s="185">
        <f t="shared" ca="1" si="11"/>
        <v>1968.8133333333333</v>
      </c>
      <c r="AF49" s="184">
        <f t="shared" ca="1" si="12"/>
        <v>-317.85333333333824</v>
      </c>
      <c r="AG49" s="186"/>
      <c r="AH49" s="96"/>
    </row>
    <row r="50" spans="1:34" x14ac:dyDescent="0.2">
      <c r="A50" s="64">
        <f t="shared" si="16"/>
        <v>1</v>
      </c>
      <c r="B50" s="187">
        <f t="shared" si="13"/>
        <v>42599</v>
      </c>
      <c r="C50" s="74"/>
      <c r="D50" s="225">
        <v>5</v>
      </c>
      <c r="E50" s="240">
        <f t="shared" ca="1" si="14"/>
        <v>0</v>
      </c>
      <c r="F50" s="219">
        <f t="shared" ref="F50:F109" ca="1" si="21">F49+C49-OFFSET(D50,$F$6-1,0)</f>
        <v>120</v>
      </c>
      <c r="G50" s="220">
        <f t="shared" ref="G50:G81" ca="1" si="22">G49+OFFSET(D50,$F$6-1,0)-D49</f>
        <v>35</v>
      </c>
      <c r="H50" s="221">
        <f t="shared" si="15"/>
        <v>20</v>
      </c>
      <c r="I50" s="241">
        <f>SUM($D$16:D45)+$I$17+$H$17</f>
        <v>415</v>
      </c>
      <c r="J50" s="232">
        <v>12</v>
      </c>
      <c r="K50" s="86">
        <v>7</v>
      </c>
      <c r="L50" s="81">
        <f t="shared" ca="1" si="8"/>
        <v>840</v>
      </c>
      <c r="M50" s="85">
        <v>10</v>
      </c>
      <c r="N50" s="86">
        <v>0</v>
      </c>
      <c r="O50" s="81">
        <f t="shared" ca="1" si="17"/>
        <v>0</v>
      </c>
      <c r="P50" s="87">
        <v>15</v>
      </c>
      <c r="Q50" s="86">
        <v>3</v>
      </c>
      <c r="R50" s="81">
        <f t="shared" si="9"/>
        <v>60</v>
      </c>
      <c r="S50" s="85">
        <v>17</v>
      </c>
      <c r="T50" s="86">
        <v>3</v>
      </c>
      <c r="U50" s="81">
        <f t="shared" si="10"/>
        <v>1245</v>
      </c>
      <c r="V50" s="82">
        <v>25</v>
      </c>
      <c r="W50" s="84"/>
      <c r="X50" s="188">
        <f>IF(B50&gt;'Spring Feed Budget'!$Q$5,'Spring Feed Budget'!$Q$6,X49-$X$16)</f>
        <v>2280.000000000005</v>
      </c>
      <c r="Y50" s="189">
        <f t="shared" si="18"/>
        <v>62.722211674469037</v>
      </c>
      <c r="Z50" s="190">
        <f>IF(B50&gt;'Spring Feed Budget'!$Q$5,'Spring Feed Budget'!$Q$7,Z49-$Z$16)</f>
        <v>65.240000000000194</v>
      </c>
      <c r="AA50" s="83"/>
      <c r="AB50" s="182">
        <f ca="1">(M50*G50+P45*H50+S50*I50+J50*F50)/1000</f>
        <v>9.1449999999999996</v>
      </c>
      <c r="AC50" s="183">
        <f t="shared" si="19"/>
        <v>4.7499999999999769</v>
      </c>
      <c r="AD50" s="184">
        <f t="shared" ca="1" si="20"/>
        <v>2.145</v>
      </c>
      <c r="AE50" s="185">
        <f t="shared" ref="AE50:AE81" ca="1" si="23">IF(W50="",AE49+V49+(AD49-AB49)*1000/$D$5,W50)</f>
        <v>1947.4466666666667</v>
      </c>
      <c r="AF50" s="184">
        <f t="shared" ca="1" si="12"/>
        <v>-332.55333333333829</v>
      </c>
      <c r="AG50" s="186"/>
      <c r="AH50" s="96"/>
    </row>
    <row r="51" spans="1:34" x14ac:dyDescent="0.2">
      <c r="A51" s="64">
        <f t="shared" si="16"/>
        <v>1</v>
      </c>
      <c r="B51" s="187">
        <f t="shared" si="13"/>
        <v>42600</v>
      </c>
      <c r="C51" s="74"/>
      <c r="D51" s="225">
        <v>5</v>
      </c>
      <c r="E51" s="240">
        <f t="shared" ca="1" si="14"/>
        <v>0</v>
      </c>
      <c r="F51" s="219">
        <f t="shared" ca="1" si="21"/>
        <v>115</v>
      </c>
      <c r="G51" s="220">
        <f t="shared" ca="1" si="22"/>
        <v>35</v>
      </c>
      <c r="H51" s="221">
        <f t="shared" si="15"/>
        <v>20</v>
      </c>
      <c r="I51" s="241">
        <f>SUM($D$16:D46)+$I$17+$H$17</f>
        <v>420</v>
      </c>
      <c r="J51" s="232">
        <v>12</v>
      </c>
      <c r="K51" s="86">
        <v>7</v>
      </c>
      <c r="L51" s="81">
        <f t="shared" ca="1" si="8"/>
        <v>805</v>
      </c>
      <c r="M51" s="85">
        <v>10</v>
      </c>
      <c r="N51" s="86">
        <v>0</v>
      </c>
      <c r="O51" s="81">
        <f t="shared" ca="1" si="17"/>
        <v>0</v>
      </c>
      <c r="P51" s="87">
        <v>15</v>
      </c>
      <c r="Q51" s="86">
        <v>3</v>
      </c>
      <c r="R51" s="81">
        <f t="shared" si="9"/>
        <v>60</v>
      </c>
      <c r="S51" s="85">
        <v>17</v>
      </c>
      <c r="T51" s="86">
        <v>3</v>
      </c>
      <c r="U51" s="81">
        <f t="shared" si="10"/>
        <v>1260</v>
      </c>
      <c r="V51" s="82">
        <v>25</v>
      </c>
      <c r="W51" s="84"/>
      <c r="X51" s="188">
        <f>IF(B51&gt;'Spring Feed Budget'!$Q$5,'Spring Feed Budget'!$Q$6,X50-$X$16)</f>
        <v>2273.3333333333385</v>
      </c>
      <c r="Y51" s="189">
        <f t="shared" si="18"/>
        <v>65.059145617136252</v>
      </c>
      <c r="Z51" s="190">
        <f>IF(B51&gt;'Spring Feed Budget'!$Q$5,'Spring Feed Budget'!$Q$7,Z50-$Z$16)</f>
        <v>64.186666666666866</v>
      </c>
      <c r="AA51" s="83"/>
      <c r="AB51" s="182">
        <f ca="1">(M51*G51+P45*H51+S51*I51+J51*F51)/1000</f>
        <v>9.17</v>
      </c>
      <c r="AC51" s="183">
        <f t="shared" si="19"/>
        <v>4.7499999999999769</v>
      </c>
      <c r="AD51" s="184">
        <f t="shared" ca="1" si="20"/>
        <v>2.125</v>
      </c>
      <c r="AE51" s="185">
        <f t="shared" ca="1" si="23"/>
        <v>1925.78</v>
      </c>
      <c r="AF51" s="184">
        <f t="shared" ca="1" si="12"/>
        <v>-347.55333333333851</v>
      </c>
      <c r="AG51" s="186"/>
      <c r="AH51" s="96"/>
    </row>
    <row r="52" spans="1:34" x14ac:dyDescent="0.2">
      <c r="A52" s="64">
        <f t="shared" si="16"/>
        <v>1</v>
      </c>
      <c r="B52" s="187">
        <f t="shared" si="13"/>
        <v>42601</v>
      </c>
      <c r="C52" s="74"/>
      <c r="D52" s="225">
        <v>5</v>
      </c>
      <c r="E52" s="240">
        <f t="shared" ca="1" si="14"/>
        <v>0</v>
      </c>
      <c r="F52" s="219">
        <f t="shared" ca="1" si="21"/>
        <v>110</v>
      </c>
      <c r="G52" s="220">
        <f t="shared" ca="1" si="22"/>
        <v>35</v>
      </c>
      <c r="H52" s="221">
        <f t="shared" si="15"/>
        <v>20</v>
      </c>
      <c r="I52" s="241">
        <f>SUM($D$16:D47)+$I$17+$H$17</f>
        <v>425</v>
      </c>
      <c r="J52" s="232">
        <v>12</v>
      </c>
      <c r="K52" s="86">
        <v>7</v>
      </c>
      <c r="L52" s="81">
        <f t="shared" ca="1" si="8"/>
        <v>770</v>
      </c>
      <c r="M52" s="85">
        <v>10</v>
      </c>
      <c r="N52" s="86">
        <v>0</v>
      </c>
      <c r="O52" s="81">
        <f t="shared" ca="1" si="17"/>
        <v>0</v>
      </c>
      <c r="P52" s="87">
        <v>15</v>
      </c>
      <c r="Q52" s="86">
        <v>3</v>
      </c>
      <c r="R52" s="81">
        <f t="shared" si="9"/>
        <v>60</v>
      </c>
      <c r="S52" s="85">
        <v>17</v>
      </c>
      <c r="T52" s="86">
        <v>3</v>
      </c>
      <c r="U52" s="81">
        <f t="shared" si="10"/>
        <v>1275</v>
      </c>
      <c r="V52" s="82">
        <v>25</v>
      </c>
      <c r="W52" s="84"/>
      <c r="X52" s="188">
        <f>IF(B52&gt;'Spring Feed Budget'!$Q$5,'Spring Feed Budget'!$Q$6,X51-$X$16)</f>
        <v>2266.666666666672</v>
      </c>
      <c r="Y52" s="189">
        <f t="shared" si="18"/>
        <v>67.435069587569188</v>
      </c>
      <c r="Z52" s="190">
        <f>IF(B52&gt;'Spring Feed Budget'!$Q$5,'Spring Feed Budget'!$Q$7,Z51-$Z$16)</f>
        <v>63.133333333333532</v>
      </c>
      <c r="AA52" s="83"/>
      <c r="AB52" s="182">
        <f ca="1">(M52*G52+P52*H52+S52*I52+J52*F52)/1000</f>
        <v>9.1950000000000003</v>
      </c>
      <c r="AC52" s="183">
        <f t="shared" si="19"/>
        <v>4.7499999999999769</v>
      </c>
      <c r="AD52" s="184">
        <f t="shared" ca="1" si="20"/>
        <v>2.105</v>
      </c>
      <c r="AE52" s="185">
        <f t="shared" ca="1" si="23"/>
        <v>1903.8133333333333</v>
      </c>
      <c r="AF52" s="184">
        <f t="shared" ca="1" si="12"/>
        <v>-362.8533333333387</v>
      </c>
      <c r="AG52" s="186"/>
      <c r="AH52" s="96"/>
    </row>
    <row r="53" spans="1:34" x14ac:dyDescent="0.2">
      <c r="A53" s="64">
        <f t="shared" si="16"/>
        <v>1</v>
      </c>
      <c r="B53" s="187">
        <f t="shared" si="13"/>
        <v>42602</v>
      </c>
      <c r="C53" s="74"/>
      <c r="D53" s="225">
        <v>5</v>
      </c>
      <c r="E53" s="240">
        <f t="shared" ca="1" si="14"/>
        <v>0</v>
      </c>
      <c r="F53" s="219">
        <f t="shared" ca="1" si="21"/>
        <v>105</v>
      </c>
      <c r="G53" s="220">
        <f t="shared" ca="1" si="22"/>
        <v>35</v>
      </c>
      <c r="H53" s="221">
        <f t="shared" ref="H53:H84" si="24">SUM(D49:D52)</f>
        <v>20</v>
      </c>
      <c r="I53" s="241">
        <f>SUM($D$16:D48)+$I$17+$H$17</f>
        <v>430</v>
      </c>
      <c r="J53" s="232">
        <v>12</v>
      </c>
      <c r="K53" s="86">
        <v>7</v>
      </c>
      <c r="L53" s="81">
        <f t="shared" ca="1" si="8"/>
        <v>735</v>
      </c>
      <c r="M53" s="85">
        <v>10</v>
      </c>
      <c r="N53" s="86">
        <v>0</v>
      </c>
      <c r="O53" s="81">
        <f t="shared" ca="1" si="17"/>
        <v>0</v>
      </c>
      <c r="P53" s="87">
        <v>15</v>
      </c>
      <c r="Q53" s="86">
        <v>3</v>
      </c>
      <c r="R53" s="81">
        <f t="shared" si="9"/>
        <v>60</v>
      </c>
      <c r="S53" s="85">
        <v>17</v>
      </c>
      <c r="T53" s="86">
        <v>3</v>
      </c>
      <c r="U53" s="81">
        <f t="shared" si="10"/>
        <v>1290</v>
      </c>
      <c r="V53" s="82">
        <v>30</v>
      </c>
      <c r="W53" s="84"/>
      <c r="X53" s="188">
        <f>IF(B53&gt;'Spring Feed Budget'!$Q$5,'Spring Feed Budget'!$Q$6,X52-$X$16)</f>
        <v>2260.0000000000055</v>
      </c>
      <c r="Y53" s="189">
        <f t="shared" si="18"/>
        <v>69.851306700971236</v>
      </c>
      <c r="Z53" s="190">
        <f>IF(B53&gt;'Spring Feed Budget'!$Q$5,'Spring Feed Budget'!$Q$7,Z52-$Z$16)</f>
        <v>62.080000000000197</v>
      </c>
      <c r="AA53" s="83"/>
      <c r="AB53" s="182">
        <f ca="1">(M53*G53+P52*H53+S53*I53+J53*F53)/1000</f>
        <v>9.2200000000000006</v>
      </c>
      <c r="AC53" s="183">
        <f t="shared" si="19"/>
        <v>5.4999999999999769</v>
      </c>
      <c r="AD53" s="184">
        <f t="shared" ca="1" si="20"/>
        <v>2.085</v>
      </c>
      <c r="AE53" s="185">
        <f t="shared" ca="1" si="23"/>
        <v>1881.5466666666666</v>
      </c>
      <c r="AF53" s="184">
        <f t="shared" ca="1" si="12"/>
        <v>-378.45333333333883</v>
      </c>
      <c r="AG53" s="186"/>
      <c r="AH53" s="96"/>
    </row>
    <row r="54" spans="1:34" x14ac:dyDescent="0.2">
      <c r="A54" s="64">
        <f t="shared" si="16"/>
        <v>1</v>
      </c>
      <c r="B54" s="187">
        <f t="shared" si="13"/>
        <v>42603</v>
      </c>
      <c r="C54" s="74"/>
      <c r="D54" s="225">
        <v>5</v>
      </c>
      <c r="E54" s="240">
        <f t="shared" ca="1" si="14"/>
        <v>0</v>
      </c>
      <c r="F54" s="219">
        <f t="shared" ca="1" si="21"/>
        <v>100</v>
      </c>
      <c r="G54" s="220">
        <f t="shared" ca="1" si="22"/>
        <v>35</v>
      </c>
      <c r="H54" s="221">
        <f t="shared" si="24"/>
        <v>20</v>
      </c>
      <c r="I54" s="241">
        <f>SUM($D$16:D49)+$I$17+$H$17</f>
        <v>435</v>
      </c>
      <c r="J54" s="232">
        <v>12</v>
      </c>
      <c r="K54" s="86">
        <v>7</v>
      </c>
      <c r="L54" s="81">
        <f t="shared" ca="1" si="8"/>
        <v>700</v>
      </c>
      <c r="M54" s="85">
        <v>10</v>
      </c>
      <c r="N54" s="86">
        <v>0</v>
      </c>
      <c r="O54" s="81">
        <f t="shared" ca="1" si="17"/>
        <v>0</v>
      </c>
      <c r="P54" s="87">
        <v>15</v>
      </c>
      <c r="Q54" s="86">
        <v>3</v>
      </c>
      <c r="R54" s="81">
        <f t="shared" si="9"/>
        <v>60</v>
      </c>
      <c r="S54" s="85">
        <v>17</v>
      </c>
      <c r="T54" s="86">
        <v>3</v>
      </c>
      <c r="U54" s="81">
        <f t="shared" si="10"/>
        <v>1305</v>
      </c>
      <c r="V54" s="82">
        <v>30</v>
      </c>
      <c r="W54" s="84"/>
      <c r="X54" s="188">
        <f>IF(B54&gt;'Spring Feed Budget'!$Q$5,'Spring Feed Budget'!$Q$6,X53-$X$16)</f>
        <v>2253.3333333333389</v>
      </c>
      <c r="Y54" s="189">
        <f t="shared" si="18"/>
        <v>72.309248584300917</v>
      </c>
      <c r="Z54" s="190">
        <f>IF(B54&gt;'Spring Feed Budget'!$Q$5,'Spring Feed Budget'!$Q$7,Z53-$Z$16)</f>
        <v>61.026666666666863</v>
      </c>
      <c r="AA54" s="83"/>
      <c r="AB54" s="182">
        <f ca="1">(M54*G54+P52*H54+S54*I54+J54*F54)/1000</f>
        <v>9.2449999999999992</v>
      </c>
      <c r="AC54" s="183">
        <f t="shared" si="19"/>
        <v>5.4999999999999769</v>
      </c>
      <c r="AD54" s="184">
        <f t="shared" ca="1" si="20"/>
        <v>2.0649999999999999</v>
      </c>
      <c r="AE54" s="185">
        <f t="shared" ca="1" si="23"/>
        <v>1863.98</v>
      </c>
      <c r="AF54" s="184">
        <f t="shared" ca="1" si="12"/>
        <v>-389.35333333333892</v>
      </c>
      <c r="AG54" s="186"/>
      <c r="AH54" s="96"/>
    </row>
    <row r="55" spans="1:34" x14ac:dyDescent="0.2">
      <c r="A55" s="64">
        <f t="shared" si="16"/>
        <v>1</v>
      </c>
      <c r="B55" s="187">
        <f t="shared" si="13"/>
        <v>42604</v>
      </c>
      <c r="C55" s="74"/>
      <c r="D55" s="225">
        <v>5</v>
      </c>
      <c r="E55" s="240">
        <f t="shared" ca="1" si="14"/>
        <v>0</v>
      </c>
      <c r="F55" s="219">
        <f t="shared" ca="1" si="21"/>
        <v>95</v>
      </c>
      <c r="G55" s="220">
        <f t="shared" ca="1" si="22"/>
        <v>35</v>
      </c>
      <c r="H55" s="221">
        <f t="shared" si="24"/>
        <v>20</v>
      </c>
      <c r="I55" s="241">
        <f>SUM($D$16:D50)+$I$17+$H$17</f>
        <v>440</v>
      </c>
      <c r="J55" s="232">
        <v>12</v>
      </c>
      <c r="K55" s="86">
        <v>7</v>
      </c>
      <c r="L55" s="81">
        <f t="shared" ca="1" si="8"/>
        <v>665</v>
      </c>
      <c r="M55" s="85">
        <v>10</v>
      </c>
      <c r="N55" s="86">
        <v>0</v>
      </c>
      <c r="O55" s="81">
        <f t="shared" ca="1" si="17"/>
        <v>0</v>
      </c>
      <c r="P55" s="87">
        <v>15</v>
      </c>
      <c r="Q55" s="86">
        <v>3</v>
      </c>
      <c r="R55" s="81">
        <f t="shared" si="9"/>
        <v>60</v>
      </c>
      <c r="S55" s="85">
        <v>17</v>
      </c>
      <c r="T55" s="86">
        <v>3</v>
      </c>
      <c r="U55" s="81">
        <f t="shared" si="10"/>
        <v>1320</v>
      </c>
      <c r="V55" s="82">
        <v>30</v>
      </c>
      <c r="W55" s="84"/>
      <c r="X55" s="188">
        <f>IF(B55&gt;'Spring Feed Budget'!$Q$5,'Spring Feed Budget'!$Q$6,X54-$X$16)</f>
        <v>2246.6666666666724</v>
      </c>
      <c r="Y55" s="189">
        <f t="shared" si="18"/>
        <v>74.810360189458763</v>
      </c>
      <c r="Z55" s="190">
        <f>IF(B55&gt;'Spring Feed Budget'!$Q$5,'Spring Feed Budget'!$Q$7,Z54-$Z$16)</f>
        <v>59.973333333333528</v>
      </c>
      <c r="AA55" s="83"/>
      <c r="AB55" s="182">
        <f ca="1">(M55*G55+P52*H55+S55*I55+J55*F55)/1000</f>
        <v>9.27</v>
      </c>
      <c r="AC55" s="183">
        <f t="shared" si="19"/>
        <v>5.4999999999999769</v>
      </c>
      <c r="AD55" s="184">
        <f t="shared" ca="1" si="20"/>
        <v>2.0449999999999999</v>
      </c>
      <c r="AE55" s="185">
        <f t="shared" ca="1" si="23"/>
        <v>1846.1133333333335</v>
      </c>
      <c r="AF55" s="184">
        <f t="shared" ca="1" si="12"/>
        <v>-400.55333333333897</v>
      </c>
      <c r="AG55" s="186"/>
      <c r="AH55" s="96"/>
    </row>
    <row r="56" spans="1:34" x14ac:dyDescent="0.2">
      <c r="A56" s="64">
        <f t="shared" si="16"/>
        <v>2</v>
      </c>
      <c r="B56" s="187">
        <f t="shared" si="13"/>
        <v>42605</v>
      </c>
      <c r="C56" s="74"/>
      <c r="D56" s="225">
        <v>5</v>
      </c>
      <c r="E56" s="240">
        <f t="shared" ca="1" si="14"/>
        <v>0</v>
      </c>
      <c r="F56" s="219">
        <f t="shared" ca="1" si="21"/>
        <v>90</v>
      </c>
      <c r="G56" s="220">
        <f t="shared" ca="1" si="22"/>
        <v>35</v>
      </c>
      <c r="H56" s="221">
        <f t="shared" si="24"/>
        <v>20</v>
      </c>
      <c r="I56" s="241">
        <f>SUM($D$16:D51)+$I$17+$H$17</f>
        <v>445</v>
      </c>
      <c r="J56" s="232">
        <v>12</v>
      </c>
      <c r="K56" s="86">
        <v>7</v>
      </c>
      <c r="L56" s="81">
        <f t="shared" ca="1" si="8"/>
        <v>630</v>
      </c>
      <c r="M56" s="85">
        <v>10</v>
      </c>
      <c r="N56" s="86">
        <v>0</v>
      </c>
      <c r="O56" s="81">
        <f t="shared" ca="1" si="17"/>
        <v>0</v>
      </c>
      <c r="P56" s="87">
        <v>15</v>
      </c>
      <c r="Q56" s="86">
        <v>3</v>
      </c>
      <c r="R56" s="81">
        <f t="shared" si="9"/>
        <v>60</v>
      </c>
      <c r="S56" s="85">
        <v>17</v>
      </c>
      <c r="T56" s="86">
        <v>3</v>
      </c>
      <c r="U56" s="81">
        <f t="shared" si="10"/>
        <v>1335</v>
      </c>
      <c r="V56" s="82">
        <v>30</v>
      </c>
      <c r="W56" s="84"/>
      <c r="X56" s="188">
        <f>IF(B56&gt;'Spring Feed Budget'!$Q$5,'Spring Feed Budget'!$Q$6,X55-$X$16)</f>
        <v>2240.0000000000059</v>
      </c>
      <c r="Y56" s="189">
        <f t="shared" si="18"/>
        <v>77.356185036709263</v>
      </c>
      <c r="Z56" s="190">
        <f>IF(B56&gt;'Spring Feed Budget'!$Q$5,'Spring Feed Budget'!$Q$7,Z55-$Z$16)</f>
        <v>58.920000000000194</v>
      </c>
      <c r="AA56" s="83"/>
      <c r="AB56" s="182">
        <f ca="1">(M56*G56+P52*H56+S56*I56+J56*F56)/1000</f>
        <v>9.2949999999999999</v>
      </c>
      <c r="AC56" s="183">
        <f t="shared" si="19"/>
        <v>5.4999999999999769</v>
      </c>
      <c r="AD56" s="184">
        <f t="shared" ca="1" si="20"/>
        <v>2.0249999999999999</v>
      </c>
      <c r="AE56" s="185">
        <f t="shared" ca="1" si="23"/>
        <v>1827.9466666666667</v>
      </c>
      <c r="AF56" s="184">
        <f t="shared" ca="1" si="12"/>
        <v>-412.0533333333392</v>
      </c>
      <c r="AG56" s="186"/>
      <c r="AH56" s="96"/>
    </row>
    <row r="57" spans="1:34" x14ac:dyDescent="0.2">
      <c r="A57" s="64">
        <f t="shared" si="16"/>
        <v>2</v>
      </c>
      <c r="B57" s="187">
        <f t="shared" si="13"/>
        <v>42606</v>
      </c>
      <c r="C57" s="74"/>
      <c r="D57" s="225">
        <v>5</v>
      </c>
      <c r="E57" s="240">
        <f t="shared" ca="1" si="14"/>
        <v>0</v>
      </c>
      <c r="F57" s="219">
        <f t="shared" ca="1" si="21"/>
        <v>85</v>
      </c>
      <c r="G57" s="220">
        <f t="shared" ca="1" si="22"/>
        <v>35</v>
      </c>
      <c r="H57" s="221">
        <f t="shared" si="24"/>
        <v>20</v>
      </c>
      <c r="I57" s="241">
        <f>SUM($D$16:D52)+$I$17+$H$17</f>
        <v>450</v>
      </c>
      <c r="J57" s="232">
        <v>12</v>
      </c>
      <c r="K57" s="86">
        <v>7</v>
      </c>
      <c r="L57" s="81">
        <f t="shared" ca="1" si="8"/>
        <v>595</v>
      </c>
      <c r="M57" s="85">
        <v>10</v>
      </c>
      <c r="N57" s="86">
        <v>0</v>
      </c>
      <c r="O57" s="81">
        <f t="shared" ca="1" si="17"/>
        <v>0</v>
      </c>
      <c r="P57" s="87">
        <v>15</v>
      </c>
      <c r="Q57" s="86">
        <v>3</v>
      </c>
      <c r="R57" s="81">
        <f t="shared" si="9"/>
        <v>60</v>
      </c>
      <c r="S57" s="85">
        <v>17</v>
      </c>
      <c r="T57" s="86">
        <v>3</v>
      </c>
      <c r="U57" s="81">
        <f t="shared" si="10"/>
        <v>1350</v>
      </c>
      <c r="V57" s="82">
        <v>30</v>
      </c>
      <c r="W57" s="84"/>
      <c r="X57" s="188">
        <f>IF(B57&gt;'Spring Feed Budget'!$Q$5,'Spring Feed Budget'!$Q$6,X56-$X$16)</f>
        <v>2233.3333333333394</v>
      </c>
      <c r="Y57" s="189">
        <f t="shared" si="18"/>
        <v>79.948350935326772</v>
      </c>
      <c r="Z57" s="190">
        <f>IF(B57&gt;'Spring Feed Budget'!$Q$5,'Spring Feed Budget'!$Q$7,Z56-$Z$16)</f>
        <v>57.866666666666859</v>
      </c>
      <c r="AA57" s="83"/>
      <c r="AB57" s="182">
        <f ca="1">(M57*G57+P52*H57+S57*I57+J57*F57)/1000</f>
        <v>9.32</v>
      </c>
      <c r="AC57" s="183">
        <f t="shared" si="19"/>
        <v>5.4999999999999769</v>
      </c>
      <c r="AD57" s="184">
        <f t="shared" ca="1" si="20"/>
        <v>2.0049999999999999</v>
      </c>
      <c r="AE57" s="185">
        <f t="shared" ca="1" si="23"/>
        <v>1809.48</v>
      </c>
      <c r="AF57" s="184">
        <f t="shared" ca="1" si="12"/>
        <v>-423.85333333333938</v>
      </c>
      <c r="AG57" s="186"/>
      <c r="AH57" s="96"/>
    </row>
    <row r="58" spans="1:34" x14ac:dyDescent="0.2">
      <c r="A58" s="64">
        <f t="shared" si="16"/>
        <v>2</v>
      </c>
      <c r="B58" s="187">
        <f t="shared" si="13"/>
        <v>42607</v>
      </c>
      <c r="C58" s="74"/>
      <c r="D58" s="225">
        <v>5</v>
      </c>
      <c r="E58" s="240">
        <f t="shared" ca="1" si="14"/>
        <v>0</v>
      </c>
      <c r="F58" s="219">
        <f t="shared" ca="1" si="21"/>
        <v>80</v>
      </c>
      <c r="G58" s="220">
        <f t="shared" ca="1" si="22"/>
        <v>35</v>
      </c>
      <c r="H58" s="221">
        <f t="shared" si="24"/>
        <v>20</v>
      </c>
      <c r="I58" s="241">
        <f>SUM($D$16:D53)+$I$17+$H$17</f>
        <v>455</v>
      </c>
      <c r="J58" s="232">
        <v>12</v>
      </c>
      <c r="K58" s="86">
        <v>7</v>
      </c>
      <c r="L58" s="81">
        <f t="shared" ca="1" si="8"/>
        <v>560</v>
      </c>
      <c r="M58" s="85">
        <v>10</v>
      </c>
      <c r="N58" s="86">
        <v>0</v>
      </c>
      <c r="O58" s="81">
        <f t="shared" ca="1" si="17"/>
        <v>0</v>
      </c>
      <c r="P58" s="87">
        <v>15</v>
      </c>
      <c r="Q58" s="86">
        <v>3</v>
      </c>
      <c r="R58" s="81">
        <f t="shared" si="9"/>
        <v>60</v>
      </c>
      <c r="S58" s="85">
        <v>17</v>
      </c>
      <c r="T58" s="86">
        <v>3</v>
      </c>
      <c r="U58" s="81">
        <f t="shared" si="10"/>
        <v>1365</v>
      </c>
      <c r="V58" s="82">
        <v>30</v>
      </c>
      <c r="W58" s="84"/>
      <c r="X58" s="188">
        <f>IF(B58&gt;'Spring Feed Budget'!$Q$5,'Spring Feed Budget'!$Q$6,X57-$X$16)</f>
        <v>2226.6666666666729</v>
      </c>
      <c r="Y58" s="189">
        <f t="shared" si="18"/>
        <v>82.588576234552292</v>
      </c>
      <c r="Z58" s="190">
        <f>IF(B58&gt;'Spring Feed Budget'!$Q$5,'Spring Feed Budget'!$Q$7,Z57-$Z$16)</f>
        <v>56.813333333333524</v>
      </c>
      <c r="AA58" s="83"/>
      <c r="AB58" s="182">
        <f ca="1">(M58*G58+P52*H58+S58*I58+J58*F58)/1000</f>
        <v>9.3450000000000006</v>
      </c>
      <c r="AC58" s="183">
        <f t="shared" si="19"/>
        <v>5.4999999999999769</v>
      </c>
      <c r="AD58" s="184">
        <f t="shared" ca="1" si="20"/>
        <v>1.9850000000000001</v>
      </c>
      <c r="AE58" s="185">
        <f t="shared" ca="1" si="23"/>
        <v>1790.7133333333334</v>
      </c>
      <c r="AF58" s="184">
        <f t="shared" ca="1" si="12"/>
        <v>-435.95333333333951</v>
      </c>
      <c r="AG58" s="186"/>
      <c r="AH58" s="96"/>
    </row>
    <row r="59" spans="1:34" x14ac:dyDescent="0.2">
      <c r="A59" s="64">
        <f t="shared" si="16"/>
        <v>2</v>
      </c>
      <c r="B59" s="187">
        <f t="shared" si="13"/>
        <v>42608</v>
      </c>
      <c r="C59" s="74"/>
      <c r="D59" s="225">
        <v>5</v>
      </c>
      <c r="E59" s="240">
        <f t="shared" ca="1" si="14"/>
        <v>0</v>
      </c>
      <c r="F59" s="219">
        <f t="shared" ca="1" si="21"/>
        <v>75</v>
      </c>
      <c r="G59" s="220">
        <f t="shared" ca="1" si="22"/>
        <v>35</v>
      </c>
      <c r="H59" s="221">
        <f t="shared" si="24"/>
        <v>20</v>
      </c>
      <c r="I59" s="241">
        <f>SUM($D$16:D54)+$I$17+$H$17</f>
        <v>460</v>
      </c>
      <c r="J59" s="232">
        <v>12</v>
      </c>
      <c r="K59" s="86">
        <v>7</v>
      </c>
      <c r="L59" s="81">
        <f t="shared" ca="1" si="8"/>
        <v>525</v>
      </c>
      <c r="M59" s="85">
        <v>10</v>
      </c>
      <c r="N59" s="86">
        <v>0</v>
      </c>
      <c r="O59" s="81">
        <f t="shared" ca="1" si="17"/>
        <v>0</v>
      </c>
      <c r="P59" s="87">
        <v>15</v>
      </c>
      <c r="Q59" s="86">
        <v>3</v>
      </c>
      <c r="R59" s="81">
        <f t="shared" si="9"/>
        <v>60</v>
      </c>
      <c r="S59" s="85">
        <v>17</v>
      </c>
      <c r="T59" s="86">
        <v>3</v>
      </c>
      <c r="U59" s="81">
        <f t="shared" si="10"/>
        <v>1380</v>
      </c>
      <c r="V59" s="82">
        <v>30</v>
      </c>
      <c r="W59" s="84"/>
      <c r="X59" s="188">
        <f>IF(B59&gt;'Spring Feed Budget'!$Q$5,'Spring Feed Budget'!$Q$6,X58-$X$16)</f>
        <v>2220.0000000000064</v>
      </c>
      <c r="Y59" s="189">
        <f t="shared" si="18"/>
        <v>85.278676664968359</v>
      </c>
      <c r="Z59" s="190">
        <f>IF(B59&gt;'Spring Feed Budget'!$Q$5,'Spring Feed Budget'!$Q$7,Z58-$Z$16)</f>
        <v>55.76000000000019</v>
      </c>
      <c r="AA59" s="83"/>
      <c r="AB59" s="182">
        <f ca="1">(M59*G59+P59*H59+S59*I59+J59*F59)/1000</f>
        <v>9.3699999999999992</v>
      </c>
      <c r="AC59" s="183">
        <f t="shared" si="19"/>
        <v>5.4999999999999769</v>
      </c>
      <c r="AD59" s="184">
        <f t="shared" ca="1" si="20"/>
        <v>1.9650000000000001</v>
      </c>
      <c r="AE59" s="185">
        <f t="shared" ca="1" si="23"/>
        <v>1771.6466666666668</v>
      </c>
      <c r="AF59" s="184">
        <f t="shared" ca="1" si="12"/>
        <v>-448.35333333333961</v>
      </c>
      <c r="AG59" s="186"/>
      <c r="AH59" s="96"/>
    </row>
    <row r="60" spans="1:34" x14ac:dyDescent="0.2">
      <c r="A60" s="64">
        <f t="shared" si="16"/>
        <v>2</v>
      </c>
      <c r="B60" s="187">
        <f t="shared" si="13"/>
        <v>42609</v>
      </c>
      <c r="C60" s="74"/>
      <c r="D60" s="225">
        <v>5</v>
      </c>
      <c r="E60" s="240">
        <f t="shared" ca="1" si="14"/>
        <v>0</v>
      </c>
      <c r="F60" s="219">
        <f t="shared" ca="1" si="21"/>
        <v>70</v>
      </c>
      <c r="G60" s="220">
        <f t="shared" ca="1" si="22"/>
        <v>35</v>
      </c>
      <c r="H60" s="221">
        <f t="shared" si="24"/>
        <v>20</v>
      </c>
      <c r="I60" s="241">
        <f>SUM($D$16:D55)+$I$17+$H$17</f>
        <v>465</v>
      </c>
      <c r="J60" s="232">
        <v>12</v>
      </c>
      <c r="K60" s="86">
        <v>7</v>
      </c>
      <c r="L60" s="81">
        <f t="shared" ca="1" si="8"/>
        <v>490</v>
      </c>
      <c r="M60" s="85">
        <v>10</v>
      </c>
      <c r="N60" s="86">
        <v>0</v>
      </c>
      <c r="O60" s="81">
        <f t="shared" ca="1" si="17"/>
        <v>0</v>
      </c>
      <c r="P60" s="87">
        <v>15</v>
      </c>
      <c r="Q60" s="86">
        <v>3</v>
      </c>
      <c r="R60" s="81">
        <f t="shared" si="9"/>
        <v>60</v>
      </c>
      <c r="S60" s="85">
        <v>17</v>
      </c>
      <c r="T60" s="86">
        <v>3</v>
      </c>
      <c r="U60" s="81">
        <f t="shared" si="10"/>
        <v>1395</v>
      </c>
      <c r="V60" s="82">
        <v>30</v>
      </c>
      <c r="W60" s="84"/>
      <c r="X60" s="188">
        <f>IF(B60&gt;'Spring Feed Budget'!$Q$5,'Spring Feed Budget'!$Q$6,X59-$X$16)</f>
        <v>2213.3333333333399</v>
      </c>
      <c r="Y60" s="189">
        <f t="shared" si="18"/>
        <v>88.020572838499916</v>
      </c>
      <c r="Z60" s="190">
        <f>IF(B60&gt;'Spring Feed Budget'!$Q$5,'Spring Feed Budget'!$Q$7,Z59-$Z$16)</f>
        <v>54.706666666666855</v>
      </c>
      <c r="AA60" s="83"/>
      <c r="AB60" s="182">
        <f ca="1">(M60*G60+P59*H60+S60*I60+J60*F60)/1000</f>
        <v>9.3949999999999996</v>
      </c>
      <c r="AC60" s="183">
        <f t="shared" si="19"/>
        <v>5.4999999999999769</v>
      </c>
      <c r="AD60" s="184">
        <f t="shared" ca="1" si="20"/>
        <v>1.9450000000000001</v>
      </c>
      <c r="AE60" s="185">
        <f t="shared" ca="1" si="23"/>
        <v>1752.2800000000002</v>
      </c>
      <c r="AF60" s="184">
        <f t="shared" ca="1" si="12"/>
        <v>-461.05333333333965</v>
      </c>
      <c r="AG60" s="186"/>
      <c r="AH60" s="96"/>
    </row>
    <row r="61" spans="1:34" x14ac:dyDescent="0.2">
      <c r="A61" s="64">
        <f t="shared" si="16"/>
        <v>2</v>
      </c>
      <c r="B61" s="187">
        <f t="shared" si="13"/>
        <v>42610</v>
      </c>
      <c r="C61" s="74"/>
      <c r="D61" s="225">
        <v>5</v>
      </c>
      <c r="E61" s="240">
        <f t="shared" ca="1" si="14"/>
        <v>0</v>
      </c>
      <c r="F61" s="219">
        <f t="shared" ca="1" si="21"/>
        <v>65</v>
      </c>
      <c r="G61" s="220">
        <f t="shared" ca="1" si="22"/>
        <v>35</v>
      </c>
      <c r="H61" s="221">
        <f t="shared" si="24"/>
        <v>20</v>
      </c>
      <c r="I61" s="241">
        <f>SUM($D$16:D56)+$I$17+$H$17</f>
        <v>470</v>
      </c>
      <c r="J61" s="232">
        <v>12</v>
      </c>
      <c r="K61" s="86">
        <v>7</v>
      </c>
      <c r="L61" s="81">
        <f t="shared" ca="1" si="8"/>
        <v>455</v>
      </c>
      <c r="M61" s="85">
        <v>10</v>
      </c>
      <c r="N61" s="86">
        <v>0</v>
      </c>
      <c r="O61" s="81">
        <f t="shared" ca="1" si="17"/>
        <v>0</v>
      </c>
      <c r="P61" s="87">
        <v>15</v>
      </c>
      <c r="Q61" s="86">
        <v>3</v>
      </c>
      <c r="R61" s="81">
        <f t="shared" si="9"/>
        <v>60</v>
      </c>
      <c r="S61" s="85">
        <v>17</v>
      </c>
      <c r="T61" s="86">
        <v>3</v>
      </c>
      <c r="U61" s="81">
        <f t="shared" si="10"/>
        <v>1410</v>
      </c>
      <c r="V61" s="82">
        <v>30</v>
      </c>
      <c r="W61" s="84"/>
      <c r="X61" s="188">
        <f>IF(B61&gt;'Spring Feed Budget'!$Q$5,'Spring Feed Budget'!$Q$6,X60-$X$16)</f>
        <v>2206.6666666666733</v>
      </c>
      <c r="Y61" s="189">
        <f t="shared" si="18"/>
        <v>90.816298484623161</v>
      </c>
      <c r="Z61" s="190">
        <f>IF(B61&gt;'Spring Feed Budget'!$Q$5,'Spring Feed Budget'!$Q$7,Z60-$Z$16)</f>
        <v>53.653333333333521</v>
      </c>
      <c r="AA61" s="83"/>
      <c r="AB61" s="182">
        <f ca="1">(M61*G61+P59*H61+S61*I61+J61*F61)/1000</f>
        <v>9.42</v>
      </c>
      <c r="AC61" s="183">
        <f t="shared" si="19"/>
        <v>5.4999999999999769</v>
      </c>
      <c r="AD61" s="184">
        <f t="shared" ca="1" si="20"/>
        <v>1.925</v>
      </c>
      <c r="AE61" s="185">
        <f t="shared" ca="1" si="23"/>
        <v>1732.6133333333335</v>
      </c>
      <c r="AF61" s="184">
        <f t="shared" ca="1" si="12"/>
        <v>-474.05333333333988</v>
      </c>
      <c r="AG61" s="186"/>
      <c r="AH61" s="96"/>
    </row>
    <row r="62" spans="1:34" x14ac:dyDescent="0.2">
      <c r="A62" s="64">
        <f t="shared" si="16"/>
        <v>2</v>
      </c>
      <c r="B62" s="187">
        <f t="shared" si="13"/>
        <v>42611</v>
      </c>
      <c r="C62" s="74"/>
      <c r="D62" s="225">
        <v>5</v>
      </c>
      <c r="E62" s="240">
        <f t="shared" ca="1" si="14"/>
        <v>0</v>
      </c>
      <c r="F62" s="219">
        <f t="shared" ca="1" si="21"/>
        <v>60</v>
      </c>
      <c r="G62" s="220">
        <f t="shared" ca="1" si="22"/>
        <v>35</v>
      </c>
      <c r="H62" s="221">
        <f t="shared" si="24"/>
        <v>20</v>
      </c>
      <c r="I62" s="241">
        <f>SUM($D$16:D57)+$I$17+$H$17</f>
        <v>475</v>
      </c>
      <c r="J62" s="232">
        <v>12</v>
      </c>
      <c r="K62" s="86">
        <v>7</v>
      </c>
      <c r="L62" s="81">
        <f t="shared" ca="1" si="8"/>
        <v>420</v>
      </c>
      <c r="M62" s="85">
        <v>10</v>
      </c>
      <c r="N62" s="86">
        <v>0</v>
      </c>
      <c r="O62" s="81">
        <f t="shared" ca="1" si="17"/>
        <v>0</v>
      </c>
      <c r="P62" s="87">
        <v>15</v>
      </c>
      <c r="Q62" s="86">
        <v>3</v>
      </c>
      <c r="R62" s="81">
        <f t="shared" si="9"/>
        <v>60</v>
      </c>
      <c r="S62" s="85">
        <v>17</v>
      </c>
      <c r="T62" s="86">
        <v>3</v>
      </c>
      <c r="U62" s="81">
        <f t="shared" si="10"/>
        <v>1425</v>
      </c>
      <c r="V62" s="82">
        <v>30</v>
      </c>
      <c r="W62" s="84"/>
      <c r="X62" s="188">
        <f>IF(B62&gt;'Spring Feed Budget'!$Q$5,'Spring Feed Budget'!$Q$6,X61-$X$16)</f>
        <v>2200.0000000000068</v>
      </c>
      <c r="Y62" s="189">
        <f t="shared" si="18"/>
        <v>93.66800951123912</v>
      </c>
      <c r="Z62" s="190">
        <f>IF(B62&gt;'Spring Feed Budget'!$Q$5,'Spring Feed Budget'!$Q$7,Z61-$Z$16)</f>
        <v>52.600000000000186</v>
      </c>
      <c r="AA62" s="83"/>
      <c r="AB62" s="182">
        <f ca="1">(M62*G62+P59*H62+S62*I62+J62*F62)/1000</f>
        <v>9.4450000000000003</v>
      </c>
      <c r="AC62" s="183">
        <f t="shared" si="19"/>
        <v>5.4999999999999769</v>
      </c>
      <c r="AD62" s="184">
        <f t="shared" ca="1" si="20"/>
        <v>1.905</v>
      </c>
      <c r="AE62" s="185">
        <f t="shared" ca="1" si="23"/>
        <v>1712.6466666666668</v>
      </c>
      <c r="AF62" s="184">
        <f t="shared" ca="1" si="12"/>
        <v>-487.35333333334006</v>
      </c>
      <c r="AG62" s="186"/>
      <c r="AH62" s="96"/>
    </row>
    <row r="63" spans="1:34" x14ac:dyDescent="0.2">
      <c r="A63" s="64">
        <f t="shared" si="16"/>
        <v>2</v>
      </c>
      <c r="B63" s="187">
        <f t="shared" si="13"/>
        <v>42612</v>
      </c>
      <c r="C63" s="74"/>
      <c r="D63" s="225">
        <v>5</v>
      </c>
      <c r="E63" s="240">
        <f t="shared" ca="1" si="14"/>
        <v>0</v>
      </c>
      <c r="F63" s="219">
        <f t="shared" ca="1" si="21"/>
        <v>55</v>
      </c>
      <c r="G63" s="220">
        <f t="shared" ca="1" si="22"/>
        <v>35</v>
      </c>
      <c r="H63" s="221">
        <f t="shared" si="24"/>
        <v>20</v>
      </c>
      <c r="I63" s="241">
        <f>SUM($D$16:D58)+$I$17+$H$17</f>
        <v>480</v>
      </c>
      <c r="J63" s="232">
        <v>12</v>
      </c>
      <c r="K63" s="86">
        <v>7</v>
      </c>
      <c r="L63" s="81">
        <f t="shared" ca="1" si="8"/>
        <v>385</v>
      </c>
      <c r="M63" s="85">
        <v>10</v>
      </c>
      <c r="N63" s="86">
        <v>0</v>
      </c>
      <c r="O63" s="81">
        <f t="shared" ca="1" si="17"/>
        <v>0</v>
      </c>
      <c r="P63" s="87">
        <v>15</v>
      </c>
      <c r="Q63" s="86">
        <v>3</v>
      </c>
      <c r="R63" s="81">
        <f t="shared" si="9"/>
        <v>60</v>
      </c>
      <c r="S63" s="85">
        <v>17</v>
      </c>
      <c r="T63" s="86">
        <v>3</v>
      </c>
      <c r="U63" s="81">
        <f t="shared" si="10"/>
        <v>1440</v>
      </c>
      <c r="V63" s="82">
        <v>35</v>
      </c>
      <c r="W63" s="84"/>
      <c r="X63" s="188">
        <f>IF(B63&gt;'Spring Feed Budget'!$Q$5,'Spring Feed Budget'!$Q$6,X62-$X$16)</f>
        <v>2193.3333333333403</v>
      </c>
      <c r="Y63" s="189">
        <f t="shared" si="18"/>
        <v>96.577993991321875</v>
      </c>
      <c r="Z63" s="190">
        <f>IF(B63&gt;'Spring Feed Budget'!$Q$5,'Spring Feed Budget'!$Q$7,Z62-$Z$16)</f>
        <v>51.546666666666852</v>
      </c>
      <c r="AA63" s="83"/>
      <c r="AB63" s="182">
        <f ca="1">(M63*G63+P59*H63+S63*I63+J63*F63)/1000</f>
        <v>9.4700000000000006</v>
      </c>
      <c r="AC63" s="183">
        <f t="shared" si="19"/>
        <v>6.2499999999999769</v>
      </c>
      <c r="AD63" s="184">
        <f t="shared" ca="1" si="20"/>
        <v>1.885</v>
      </c>
      <c r="AE63" s="185">
        <f t="shared" ca="1" si="23"/>
        <v>1692.38</v>
      </c>
      <c r="AF63" s="184">
        <f t="shared" ca="1" si="12"/>
        <v>-500.9533333333402</v>
      </c>
      <c r="AG63" s="186"/>
      <c r="AH63" s="96"/>
    </row>
    <row r="64" spans="1:34" x14ac:dyDescent="0.2">
      <c r="A64" s="64">
        <f t="shared" si="16"/>
        <v>2</v>
      </c>
      <c r="B64" s="187">
        <f t="shared" si="13"/>
        <v>42613</v>
      </c>
      <c r="C64" s="74"/>
      <c r="D64" s="225">
        <v>5</v>
      </c>
      <c r="E64" s="240">
        <f t="shared" ca="1" si="14"/>
        <v>0</v>
      </c>
      <c r="F64" s="219">
        <f t="shared" ca="1" si="21"/>
        <v>50</v>
      </c>
      <c r="G64" s="220">
        <f t="shared" ca="1" si="22"/>
        <v>35</v>
      </c>
      <c r="H64" s="221">
        <f t="shared" si="24"/>
        <v>20</v>
      </c>
      <c r="I64" s="241">
        <f>SUM($D$16:D59)+$I$17+$H$17</f>
        <v>485</v>
      </c>
      <c r="J64" s="232">
        <v>12</v>
      </c>
      <c r="K64" s="86">
        <v>7</v>
      </c>
      <c r="L64" s="81">
        <f t="shared" ca="1" si="8"/>
        <v>350</v>
      </c>
      <c r="M64" s="85">
        <v>10</v>
      </c>
      <c r="N64" s="86">
        <v>0</v>
      </c>
      <c r="O64" s="81">
        <f t="shared" ca="1" si="17"/>
        <v>0</v>
      </c>
      <c r="P64" s="87">
        <v>15</v>
      </c>
      <c r="Q64" s="86">
        <v>3</v>
      </c>
      <c r="R64" s="81">
        <f t="shared" si="9"/>
        <v>60</v>
      </c>
      <c r="S64" s="85">
        <v>17</v>
      </c>
      <c r="T64" s="86">
        <v>3</v>
      </c>
      <c r="U64" s="81">
        <f t="shared" si="10"/>
        <v>1455</v>
      </c>
      <c r="V64" s="82">
        <v>35</v>
      </c>
      <c r="W64" s="84"/>
      <c r="X64" s="188">
        <f>IF(B64&gt;'Spring Feed Budget'!$Q$5,'Spring Feed Budget'!$Q$6,X63-$X$16)</f>
        <v>2186.6666666666738</v>
      </c>
      <c r="Y64" s="189">
        <f t="shared" si="18"/>
        <v>99.548683191216242</v>
      </c>
      <c r="Z64" s="190">
        <f>IF(B64&gt;'Spring Feed Budget'!$Q$5,'Spring Feed Budget'!$Q$7,Z63-$Z$16)</f>
        <v>50.493333333333517</v>
      </c>
      <c r="AA64" s="83"/>
      <c r="AB64" s="182">
        <f ca="1">(M64*G64+P59*H64+S64*I64+J64*F64)/1000</f>
        <v>9.4949999999999992</v>
      </c>
      <c r="AC64" s="183">
        <f t="shared" si="19"/>
        <v>6.2499999999999769</v>
      </c>
      <c r="AD64" s="184">
        <f t="shared" ca="1" si="20"/>
        <v>1.865</v>
      </c>
      <c r="AE64" s="185">
        <f t="shared" ca="1" si="23"/>
        <v>1676.8133333333335</v>
      </c>
      <c r="AF64" s="184">
        <f t="shared" ca="1" si="12"/>
        <v>-509.85333333334029</v>
      </c>
      <c r="AG64" s="186"/>
      <c r="AH64" s="96"/>
    </row>
    <row r="65" spans="1:34" x14ac:dyDescent="0.2">
      <c r="A65" s="64">
        <f t="shared" si="16"/>
        <v>2</v>
      </c>
      <c r="B65" s="187">
        <f t="shared" si="13"/>
        <v>42614</v>
      </c>
      <c r="C65" s="74"/>
      <c r="D65" s="225">
        <v>5</v>
      </c>
      <c r="E65" s="240">
        <f t="shared" ca="1" si="14"/>
        <v>0</v>
      </c>
      <c r="F65" s="219">
        <f t="shared" ca="1" si="21"/>
        <v>45</v>
      </c>
      <c r="G65" s="220">
        <f t="shared" ca="1" si="22"/>
        <v>35</v>
      </c>
      <c r="H65" s="221">
        <f t="shared" si="24"/>
        <v>20</v>
      </c>
      <c r="I65" s="241">
        <f>SUM($D$16:D60)+$I$17+$H$17</f>
        <v>490</v>
      </c>
      <c r="J65" s="232">
        <v>12</v>
      </c>
      <c r="K65" s="86">
        <v>7</v>
      </c>
      <c r="L65" s="81">
        <f t="shared" ca="1" si="8"/>
        <v>315</v>
      </c>
      <c r="M65" s="85">
        <v>10</v>
      </c>
      <c r="N65" s="86">
        <v>0</v>
      </c>
      <c r="O65" s="81">
        <f t="shared" ca="1" si="17"/>
        <v>0</v>
      </c>
      <c r="P65" s="87">
        <v>15</v>
      </c>
      <c r="Q65" s="86">
        <v>3</v>
      </c>
      <c r="R65" s="81">
        <f t="shared" si="9"/>
        <v>60</v>
      </c>
      <c r="S65" s="85">
        <v>17</v>
      </c>
      <c r="T65" s="86">
        <v>3</v>
      </c>
      <c r="U65" s="81">
        <f t="shared" si="10"/>
        <v>1470</v>
      </c>
      <c r="V65" s="82">
        <v>35</v>
      </c>
      <c r="W65" s="84"/>
      <c r="X65" s="188">
        <f>IF(B65&gt;'Spring Feed Budget'!$Q$5,'Spring Feed Budget'!$Q$6,X64-$X$16)</f>
        <v>2180.0000000000073</v>
      </c>
      <c r="Y65" s="189">
        <f t="shared" si="18"/>
        <v>102.58266377374051</v>
      </c>
      <c r="Z65" s="190">
        <f>IF(B65&gt;'Spring Feed Budget'!$Q$5,'Spring Feed Budget'!$Q$7,Z64-$Z$16)</f>
        <v>49.440000000000182</v>
      </c>
      <c r="AA65" s="83"/>
      <c r="AB65" s="182">
        <f ca="1">(M65*G65+P59*H65+S65*I65+J65*F65)/1000</f>
        <v>9.52</v>
      </c>
      <c r="AC65" s="183">
        <f t="shared" si="19"/>
        <v>6.2499999999999769</v>
      </c>
      <c r="AD65" s="184">
        <f t="shared" ca="1" si="20"/>
        <v>1.845</v>
      </c>
      <c r="AE65" s="185">
        <f t="shared" ca="1" si="23"/>
        <v>1660.9466666666669</v>
      </c>
      <c r="AF65" s="184">
        <f t="shared" ca="1" si="12"/>
        <v>-519.05333333334033</v>
      </c>
      <c r="AG65" s="186"/>
      <c r="AH65" s="96"/>
    </row>
    <row r="66" spans="1:34" x14ac:dyDescent="0.2">
      <c r="A66" s="64">
        <f t="shared" si="16"/>
        <v>2</v>
      </c>
      <c r="B66" s="187">
        <f t="shared" si="13"/>
        <v>42615</v>
      </c>
      <c r="C66" s="74"/>
      <c r="D66" s="225">
        <v>5</v>
      </c>
      <c r="E66" s="240">
        <f t="shared" ca="1" si="14"/>
        <v>0</v>
      </c>
      <c r="F66" s="219">
        <f t="shared" ca="1" si="21"/>
        <v>40</v>
      </c>
      <c r="G66" s="220">
        <f t="shared" ca="1" si="22"/>
        <v>35</v>
      </c>
      <c r="H66" s="221">
        <f t="shared" si="24"/>
        <v>20</v>
      </c>
      <c r="I66" s="241">
        <f>SUM($D$16:D61)+$I$17+$H$17</f>
        <v>495</v>
      </c>
      <c r="J66" s="232">
        <v>12</v>
      </c>
      <c r="K66" s="86">
        <v>7</v>
      </c>
      <c r="L66" s="81">
        <f t="shared" ca="1" si="8"/>
        <v>280</v>
      </c>
      <c r="M66" s="85">
        <v>10</v>
      </c>
      <c r="N66" s="86">
        <v>0</v>
      </c>
      <c r="O66" s="81">
        <f t="shared" ca="1" si="17"/>
        <v>0</v>
      </c>
      <c r="P66" s="87">
        <v>15</v>
      </c>
      <c r="Q66" s="86">
        <v>3</v>
      </c>
      <c r="R66" s="81">
        <f t="shared" si="9"/>
        <v>60</v>
      </c>
      <c r="S66" s="85">
        <v>17</v>
      </c>
      <c r="T66" s="86">
        <v>3</v>
      </c>
      <c r="U66" s="81">
        <f t="shared" si="10"/>
        <v>1485</v>
      </c>
      <c r="V66" s="82">
        <v>35</v>
      </c>
      <c r="W66" s="84"/>
      <c r="X66" s="188">
        <f>IF(B66&gt;'Spring Feed Budget'!$Q$5,'Spring Feed Budget'!$Q$6,X65-$X$16)</f>
        <v>2173.3333333333408</v>
      </c>
      <c r="Y66" s="189">
        <f t="shared" si="18"/>
        <v>105.68269132954099</v>
      </c>
      <c r="Z66" s="190">
        <f>IF(B66&gt;'Spring Feed Budget'!$Q$5,'Spring Feed Budget'!$Q$7,Z65-$Z$16)</f>
        <v>48.386666666666848</v>
      </c>
      <c r="AA66" s="83"/>
      <c r="AB66" s="182">
        <f ca="1">(M66*G66+P66*H66+S66*I66+J66*F66)/1000</f>
        <v>9.5449999999999999</v>
      </c>
      <c r="AC66" s="183">
        <f t="shared" si="19"/>
        <v>6.2499999999999769</v>
      </c>
      <c r="AD66" s="184">
        <f t="shared" ca="1" si="20"/>
        <v>1.825</v>
      </c>
      <c r="AE66" s="185">
        <f t="shared" ca="1" si="23"/>
        <v>1644.7800000000002</v>
      </c>
      <c r="AF66" s="184">
        <f t="shared" ca="1" si="12"/>
        <v>-528.55333333334056</v>
      </c>
      <c r="AG66" s="186"/>
      <c r="AH66" s="96"/>
    </row>
    <row r="67" spans="1:34" x14ac:dyDescent="0.2">
      <c r="A67" s="64">
        <f t="shared" si="16"/>
        <v>2</v>
      </c>
      <c r="B67" s="187">
        <f t="shared" si="13"/>
        <v>42616</v>
      </c>
      <c r="C67" s="74"/>
      <c r="D67" s="225">
        <v>5</v>
      </c>
      <c r="E67" s="240">
        <f t="shared" ca="1" si="14"/>
        <v>0</v>
      </c>
      <c r="F67" s="219">
        <f t="shared" ca="1" si="21"/>
        <v>35</v>
      </c>
      <c r="G67" s="220">
        <f t="shared" ca="1" si="22"/>
        <v>35</v>
      </c>
      <c r="H67" s="221">
        <f t="shared" si="24"/>
        <v>20</v>
      </c>
      <c r="I67" s="241">
        <f>SUM($D$16:D62)+$I$17+$H$17</f>
        <v>500</v>
      </c>
      <c r="J67" s="232">
        <v>12</v>
      </c>
      <c r="K67" s="86">
        <v>7</v>
      </c>
      <c r="L67" s="81">
        <f t="shared" ca="1" si="8"/>
        <v>245</v>
      </c>
      <c r="M67" s="85">
        <v>10</v>
      </c>
      <c r="N67" s="86">
        <v>0</v>
      </c>
      <c r="O67" s="81">
        <f t="shared" ca="1" si="17"/>
        <v>0</v>
      </c>
      <c r="P67" s="87">
        <v>15</v>
      </c>
      <c r="Q67" s="86">
        <v>3</v>
      </c>
      <c r="R67" s="81">
        <f t="shared" si="9"/>
        <v>60</v>
      </c>
      <c r="S67" s="85">
        <v>17</v>
      </c>
      <c r="T67" s="86">
        <v>3</v>
      </c>
      <c r="U67" s="81">
        <f t="shared" si="10"/>
        <v>1500</v>
      </c>
      <c r="V67" s="82">
        <v>35</v>
      </c>
      <c r="W67" s="84"/>
      <c r="X67" s="188">
        <f>IF(B67&gt;'Spring Feed Budget'!$Q$5,'Spring Feed Budget'!$Q$6,X66-$X$16)</f>
        <v>2166.6666666666742</v>
      </c>
      <c r="Y67" s="189">
        <f t="shared" si="18"/>
        <v>108.85170541404801</v>
      </c>
      <c r="Z67" s="190">
        <f>IF(B67&gt;'Spring Feed Budget'!$Q$5,'Spring Feed Budget'!$Q$7,Z66-$Z$16)</f>
        <v>47.333333333333513</v>
      </c>
      <c r="AA67" s="83"/>
      <c r="AB67" s="182">
        <f ca="1">(M67*G67+P66*H67+S67*I67+J67*F67)/1000</f>
        <v>9.57</v>
      </c>
      <c r="AC67" s="183">
        <f t="shared" si="19"/>
        <v>6.2499999999999769</v>
      </c>
      <c r="AD67" s="184">
        <f t="shared" ca="1" si="20"/>
        <v>1.8049999999999999</v>
      </c>
      <c r="AE67" s="185">
        <f t="shared" ca="1" si="23"/>
        <v>1628.3133333333335</v>
      </c>
      <c r="AF67" s="184">
        <f t="shared" ca="1" si="12"/>
        <v>-538.35333333334074</v>
      </c>
      <c r="AG67" s="186"/>
      <c r="AH67" s="96"/>
    </row>
    <row r="68" spans="1:34" x14ac:dyDescent="0.2">
      <c r="A68" s="64">
        <f t="shared" si="16"/>
        <v>2</v>
      </c>
      <c r="B68" s="187">
        <f t="shared" si="13"/>
        <v>42617</v>
      </c>
      <c r="C68" s="74"/>
      <c r="D68" s="225">
        <v>5</v>
      </c>
      <c r="E68" s="240">
        <f t="shared" ca="1" si="14"/>
        <v>0</v>
      </c>
      <c r="F68" s="219">
        <f t="shared" ca="1" si="21"/>
        <v>30</v>
      </c>
      <c r="G68" s="220">
        <f t="shared" ca="1" si="22"/>
        <v>35</v>
      </c>
      <c r="H68" s="221">
        <f t="shared" si="24"/>
        <v>20</v>
      </c>
      <c r="I68" s="241">
        <f>SUM($D$16:D63)+$I$17+$H$17</f>
        <v>505</v>
      </c>
      <c r="J68" s="232">
        <v>12</v>
      </c>
      <c r="K68" s="86">
        <v>7</v>
      </c>
      <c r="L68" s="81">
        <f t="shared" ca="1" si="8"/>
        <v>210</v>
      </c>
      <c r="M68" s="85">
        <v>10</v>
      </c>
      <c r="N68" s="86">
        <v>0</v>
      </c>
      <c r="O68" s="81">
        <f t="shared" ca="1" si="17"/>
        <v>0</v>
      </c>
      <c r="P68" s="87">
        <v>15</v>
      </c>
      <c r="Q68" s="86">
        <v>3</v>
      </c>
      <c r="R68" s="81">
        <f t="shared" si="9"/>
        <v>60</v>
      </c>
      <c r="S68" s="85">
        <v>18</v>
      </c>
      <c r="T68" s="86">
        <v>3</v>
      </c>
      <c r="U68" s="81">
        <f t="shared" si="10"/>
        <v>1515</v>
      </c>
      <c r="V68" s="82">
        <v>40</v>
      </c>
      <c r="W68" s="84"/>
      <c r="X68" s="188">
        <f>IF(B68&gt;'Spring Feed Budget'!$Q$5,'Spring Feed Budget'!$Q$6,X67-$X$16)</f>
        <v>2160.0000000000077</v>
      </c>
      <c r="Y68" s="189">
        <f t="shared" si="18"/>
        <v>112.09284629563832</v>
      </c>
      <c r="Z68" s="190">
        <f>IF(B68&gt;'Spring Feed Budget'!$Q$5,'Spring Feed Budget'!$Q$7,Z67-$Z$16)</f>
        <v>46.280000000000179</v>
      </c>
      <c r="AA68" s="83"/>
      <c r="AB68" s="182">
        <f ca="1">(M68*G68+P66*H68+S68*I68+J68*F68)/1000</f>
        <v>10.1</v>
      </c>
      <c r="AC68" s="183">
        <f t="shared" si="19"/>
        <v>6.9999999999999769</v>
      </c>
      <c r="AD68" s="184">
        <f t="shared" ca="1" si="20"/>
        <v>1.7849999999999999</v>
      </c>
      <c r="AE68" s="185">
        <f t="shared" ca="1" si="23"/>
        <v>1611.5466666666669</v>
      </c>
      <c r="AF68" s="184">
        <f t="shared" ca="1" si="12"/>
        <v>-548.45333333334088</v>
      </c>
      <c r="AG68" s="186"/>
      <c r="AH68" s="96"/>
    </row>
    <row r="69" spans="1:34" x14ac:dyDescent="0.2">
      <c r="A69" s="64">
        <f t="shared" si="16"/>
        <v>3</v>
      </c>
      <c r="B69" s="187">
        <f t="shared" si="13"/>
        <v>42618</v>
      </c>
      <c r="C69" s="74"/>
      <c r="D69" s="225">
        <v>5</v>
      </c>
      <c r="E69" s="240">
        <f t="shared" ca="1" si="14"/>
        <v>0</v>
      </c>
      <c r="F69" s="219">
        <f t="shared" ca="1" si="21"/>
        <v>25</v>
      </c>
      <c r="G69" s="220">
        <f t="shared" ca="1" si="22"/>
        <v>35</v>
      </c>
      <c r="H69" s="221">
        <f t="shared" si="24"/>
        <v>20</v>
      </c>
      <c r="I69" s="241">
        <f>SUM($D$16:D64)+$I$17+$H$17</f>
        <v>510</v>
      </c>
      <c r="J69" s="232">
        <v>12</v>
      </c>
      <c r="K69" s="86">
        <v>7</v>
      </c>
      <c r="L69" s="81">
        <f t="shared" ca="1" si="8"/>
        <v>175</v>
      </c>
      <c r="M69" s="85">
        <v>10</v>
      </c>
      <c r="N69" s="86">
        <v>0</v>
      </c>
      <c r="O69" s="81">
        <f t="shared" ca="1" si="17"/>
        <v>0</v>
      </c>
      <c r="P69" s="87">
        <v>15</v>
      </c>
      <c r="Q69" s="86">
        <v>3</v>
      </c>
      <c r="R69" s="81">
        <f t="shared" si="9"/>
        <v>60</v>
      </c>
      <c r="S69" s="85">
        <v>18</v>
      </c>
      <c r="T69" s="86">
        <v>3</v>
      </c>
      <c r="U69" s="81">
        <f t="shared" si="10"/>
        <v>1530</v>
      </c>
      <c r="V69" s="82">
        <v>40</v>
      </c>
      <c r="W69" s="84"/>
      <c r="X69" s="188">
        <f>IF(B69&gt;'Spring Feed Budget'!$Q$5,'Spring Feed Budget'!$Q$6,X68-$X$16)</f>
        <v>2153.3333333333412</v>
      </c>
      <c r="Y69" s="189">
        <f t="shared" si="18"/>
        <v>115.40947365412887</v>
      </c>
      <c r="Z69" s="190">
        <f>IF(B69&gt;'Spring Feed Budget'!$Q$5,'Spring Feed Budget'!$Q$7,Z68-$Z$16)</f>
        <v>45.226666666666844</v>
      </c>
      <c r="AA69" s="83"/>
      <c r="AB69" s="182">
        <f ca="1">(M69*G69+P66*H69+S69*I69+J69*F69)/1000</f>
        <v>10.130000000000001</v>
      </c>
      <c r="AC69" s="183">
        <f t="shared" si="19"/>
        <v>6.9999999999999769</v>
      </c>
      <c r="AD69" s="184">
        <f t="shared" ca="1" si="20"/>
        <v>1.7649999999999999</v>
      </c>
      <c r="AE69" s="185">
        <f t="shared" ca="1" si="23"/>
        <v>1596.1133333333335</v>
      </c>
      <c r="AF69" s="184">
        <f t="shared" ca="1" si="12"/>
        <v>-557.22000000000776</v>
      </c>
      <c r="AG69" s="186"/>
      <c r="AH69" s="96"/>
    </row>
    <row r="70" spans="1:34" x14ac:dyDescent="0.2">
      <c r="A70" s="64">
        <f t="shared" si="16"/>
        <v>3</v>
      </c>
      <c r="B70" s="187">
        <f>B69+1</f>
        <v>42619</v>
      </c>
      <c r="C70" s="74"/>
      <c r="D70" s="225">
        <v>5</v>
      </c>
      <c r="E70" s="240">
        <f t="shared" ca="1" si="14"/>
        <v>0</v>
      </c>
      <c r="F70" s="219">
        <f t="shared" ca="1" si="21"/>
        <v>20</v>
      </c>
      <c r="G70" s="220">
        <f t="shared" ca="1" si="22"/>
        <v>35</v>
      </c>
      <c r="H70" s="221">
        <f t="shared" si="24"/>
        <v>20</v>
      </c>
      <c r="I70" s="241">
        <f>SUM($D$16:D65)+$I$17+$H$17</f>
        <v>515</v>
      </c>
      <c r="J70" s="232">
        <v>12</v>
      </c>
      <c r="K70" s="86">
        <v>7</v>
      </c>
      <c r="L70" s="81">
        <f t="shared" ca="1" si="8"/>
        <v>140</v>
      </c>
      <c r="M70" s="85">
        <v>10</v>
      </c>
      <c r="N70" s="86">
        <v>0</v>
      </c>
      <c r="O70" s="81">
        <f t="shared" ca="1" si="17"/>
        <v>0</v>
      </c>
      <c r="P70" s="87">
        <v>15</v>
      </c>
      <c r="Q70" s="86">
        <v>3</v>
      </c>
      <c r="R70" s="81">
        <f t="shared" si="9"/>
        <v>60</v>
      </c>
      <c r="S70" s="85">
        <v>18</v>
      </c>
      <c r="T70" s="86">
        <v>3</v>
      </c>
      <c r="U70" s="81">
        <f t="shared" si="10"/>
        <v>1545</v>
      </c>
      <c r="V70" s="82">
        <v>40</v>
      </c>
      <c r="W70" s="84"/>
      <c r="X70" s="188">
        <f>IF(B70&gt;'Spring Feed Budget'!$Q$5,'Spring Feed Budget'!$Q$6,X69-$X$16)</f>
        <v>2146.6666666666747</v>
      </c>
      <c r="Y70" s="189">
        <f t="shared" si="18"/>
        <v>118.80518750864138</v>
      </c>
      <c r="Z70" s="190">
        <f>IF(B70&gt;'Spring Feed Budget'!$Q$5,'Spring Feed Budget'!$Q$7,Z69-$Z$16)</f>
        <v>44.17333333333351</v>
      </c>
      <c r="AA70" s="83"/>
      <c r="AB70" s="182">
        <f ca="1">(M70*G70+P66*H70+S70*I70+J70*F70)/1000</f>
        <v>10.16</v>
      </c>
      <c r="AC70" s="183">
        <f t="shared" si="19"/>
        <v>6.9999999999999769</v>
      </c>
      <c r="AD70" s="184">
        <f t="shared" ca="1" si="20"/>
        <v>1.7450000000000001</v>
      </c>
      <c r="AE70" s="185">
        <f t="shared" ca="1" si="23"/>
        <v>1580.3466666666668</v>
      </c>
      <c r="AF70" s="184">
        <f t="shared" ca="1" si="12"/>
        <v>-566.32000000000789</v>
      </c>
      <c r="AG70" s="186"/>
      <c r="AH70" s="96"/>
    </row>
    <row r="71" spans="1:34" x14ac:dyDescent="0.2">
      <c r="A71" s="64">
        <f t="shared" si="16"/>
        <v>3</v>
      </c>
      <c r="B71" s="187">
        <f t="shared" si="13"/>
        <v>42620</v>
      </c>
      <c r="C71" s="74"/>
      <c r="D71" s="225">
        <v>5</v>
      </c>
      <c r="E71" s="240">
        <f t="shared" ca="1" si="14"/>
        <v>0</v>
      </c>
      <c r="F71" s="219">
        <f t="shared" ca="1" si="21"/>
        <v>15</v>
      </c>
      <c r="G71" s="220">
        <f t="shared" ca="1" si="22"/>
        <v>35</v>
      </c>
      <c r="H71" s="221">
        <f t="shared" si="24"/>
        <v>20</v>
      </c>
      <c r="I71" s="241">
        <f>SUM($D$16:D66)+$I$17+$H$17</f>
        <v>520</v>
      </c>
      <c r="J71" s="232">
        <v>12</v>
      </c>
      <c r="K71" s="86">
        <v>7</v>
      </c>
      <c r="L71" s="81">
        <f t="shared" ca="1" si="8"/>
        <v>105</v>
      </c>
      <c r="M71" s="85">
        <v>10</v>
      </c>
      <c r="N71" s="86">
        <v>0</v>
      </c>
      <c r="O71" s="81">
        <f t="shared" ca="1" si="17"/>
        <v>0</v>
      </c>
      <c r="P71" s="87">
        <v>15</v>
      </c>
      <c r="Q71" s="86">
        <v>3</v>
      </c>
      <c r="R71" s="81">
        <f t="shared" si="9"/>
        <v>60</v>
      </c>
      <c r="S71" s="85">
        <v>18</v>
      </c>
      <c r="T71" s="86">
        <v>3</v>
      </c>
      <c r="U71" s="81">
        <f t="shared" si="10"/>
        <v>1560</v>
      </c>
      <c r="V71" s="82">
        <v>40</v>
      </c>
      <c r="W71" s="84"/>
      <c r="X71" s="188">
        <f>IF(B71&gt;'Spring Feed Budget'!$Q$5,'Spring Feed Budget'!$Q$6,X70-$X$16)</f>
        <v>2140.0000000000082</v>
      </c>
      <c r="Y71" s="189">
        <f t="shared" si="18"/>
        <v>122.28385170159127</v>
      </c>
      <c r="Z71" s="190">
        <f>IF(B71&gt;'Spring Feed Budget'!$Q$5,'Spring Feed Budget'!$Q$7,Z70-$Z$16)</f>
        <v>43.120000000000175</v>
      </c>
      <c r="AA71" s="83"/>
      <c r="AB71" s="182">
        <f ca="1">(M71*G71+P66*H71+S71*I71+J71*F71)/1000</f>
        <v>10.19</v>
      </c>
      <c r="AC71" s="183">
        <f t="shared" si="19"/>
        <v>6.9999999999999769</v>
      </c>
      <c r="AD71" s="184">
        <f t="shared" ca="1" si="20"/>
        <v>1.7250000000000001</v>
      </c>
      <c r="AE71" s="185">
        <f t="shared" ca="1" si="23"/>
        <v>1564.2466666666669</v>
      </c>
      <c r="AF71" s="184">
        <f t="shared" ca="1" si="12"/>
        <v>-575.75333333334129</v>
      </c>
      <c r="AG71" s="186"/>
      <c r="AH71" s="96"/>
    </row>
    <row r="72" spans="1:34" x14ac:dyDescent="0.2">
      <c r="A72" s="64">
        <f t="shared" si="16"/>
        <v>3</v>
      </c>
      <c r="B72" s="187">
        <f t="shared" si="13"/>
        <v>42621</v>
      </c>
      <c r="C72" s="74"/>
      <c r="D72" s="225">
        <v>5</v>
      </c>
      <c r="E72" s="240">
        <f t="shared" ca="1" si="14"/>
        <v>0</v>
      </c>
      <c r="F72" s="219">
        <f t="shared" ca="1" si="21"/>
        <v>10</v>
      </c>
      <c r="G72" s="220">
        <f t="shared" ca="1" si="22"/>
        <v>35</v>
      </c>
      <c r="H72" s="221">
        <f t="shared" si="24"/>
        <v>20</v>
      </c>
      <c r="I72" s="241">
        <f>SUM($D$16:D67)+$I$17+$H$17</f>
        <v>525</v>
      </c>
      <c r="J72" s="232">
        <v>12</v>
      </c>
      <c r="K72" s="86">
        <v>7</v>
      </c>
      <c r="L72" s="81">
        <f t="shared" ca="1" si="8"/>
        <v>70</v>
      </c>
      <c r="M72" s="85">
        <v>10</v>
      </c>
      <c r="N72" s="86">
        <v>0</v>
      </c>
      <c r="O72" s="81">
        <f t="shared" ca="1" si="17"/>
        <v>0</v>
      </c>
      <c r="P72" s="87">
        <v>15</v>
      </c>
      <c r="Q72" s="86">
        <v>3</v>
      </c>
      <c r="R72" s="81">
        <f t="shared" si="9"/>
        <v>60</v>
      </c>
      <c r="S72" s="85">
        <v>18</v>
      </c>
      <c r="T72" s="86">
        <v>3</v>
      </c>
      <c r="U72" s="81">
        <f t="shared" si="10"/>
        <v>1575</v>
      </c>
      <c r="V72" s="82">
        <v>40</v>
      </c>
      <c r="W72" s="84"/>
      <c r="X72" s="188">
        <f>IF(B72&gt;'Spring Feed Budget'!$Q$5,'Spring Feed Budget'!$Q$6,X71-$X$16)</f>
        <v>2133.3333333333417</v>
      </c>
      <c r="Y72" s="189">
        <f t="shared" si="18"/>
        <v>125.84962032282739</v>
      </c>
      <c r="Z72" s="190">
        <f>IF(B72&gt;'Spring Feed Budget'!$Q$5,'Spring Feed Budget'!$Q$7,Z71-$Z$16)</f>
        <v>42.066666666666841</v>
      </c>
      <c r="AA72" s="83"/>
      <c r="AB72" s="182">
        <f ca="1">(M72*G72+P66*H72+S72*I72+J72*F72)/1000</f>
        <v>10.220000000000001</v>
      </c>
      <c r="AC72" s="183">
        <f t="shared" si="19"/>
        <v>6.9999999999999769</v>
      </c>
      <c r="AD72" s="184">
        <f t="shared" ca="1" si="20"/>
        <v>1.7050000000000001</v>
      </c>
      <c r="AE72" s="185">
        <f t="shared" ca="1" si="23"/>
        <v>1547.8133333333335</v>
      </c>
      <c r="AF72" s="184">
        <f t="shared" ca="1" si="12"/>
        <v>-585.52000000000817</v>
      </c>
      <c r="AG72" s="186"/>
      <c r="AH72" s="96"/>
    </row>
    <row r="73" spans="1:34" x14ac:dyDescent="0.2">
      <c r="A73" s="64">
        <f t="shared" si="16"/>
        <v>3</v>
      </c>
      <c r="B73" s="187">
        <f t="shared" si="13"/>
        <v>42622</v>
      </c>
      <c r="C73" s="74"/>
      <c r="D73" s="225">
        <v>5</v>
      </c>
      <c r="E73" s="240">
        <f t="shared" ca="1" si="14"/>
        <v>0</v>
      </c>
      <c r="F73" s="219">
        <f t="shared" ca="1" si="21"/>
        <v>5</v>
      </c>
      <c r="G73" s="220">
        <f t="shared" ca="1" si="22"/>
        <v>35</v>
      </c>
      <c r="H73" s="221">
        <f t="shared" si="24"/>
        <v>20</v>
      </c>
      <c r="I73" s="241">
        <f>SUM($D$16:D68)+$I$17+$H$17</f>
        <v>530</v>
      </c>
      <c r="J73" s="232">
        <v>12</v>
      </c>
      <c r="K73" s="86">
        <v>7</v>
      </c>
      <c r="L73" s="81">
        <f t="shared" ca="1" si="8"/>
        <v>35</v>
      </c>
      <c r="M73" s="85">
        <v>10</v>
      </c>
      <c r="N73" s="86">
        <v>0</v>
      </c>
      <c r="O73" s="81">
        <f t="shared" ca="1" si="17"/>
        <v>0</v>
      </c>
      <c r="P73" s="87">
        <v>15</v>
      </c>
      <c r="Q73" s="86">
        <v>3</v>
      </c>
      <c r="R73" s="81">
        <f t="shared" si="9"/>
        <v>60</v>
      </c>
      <c r="S73" s="85">
        <v>18</v>
      </c>
      <c r="T73" s="86">
        <v>3</v>
      </c>
      <c r="U73" s="81">
        <f t="shared" si="10"/>
        <v>1590</v>
      </c>
      <c r="V73" s="82">
        <v>40</v>
      </c>
      <c r="W73" s="84"/>
      <c r="X73" s="188">
        <f>IF(B73&gt;'Spring Feed Budget'!$Q$5,'Spring Feed Budget'!$Q$6,X72-$X$16)</f>
        <v>2126.6666666666752</v>
      </c>
      <c r="Y73" s="189">
        <f t="shared" si="18"/>
        <v>129.50696752698863</v>
      </c>
      <c r="Z73" s="190">
        <f>IF(B73&gt;'Spring Feed Budget'!$Q$5,'Spring Feed Budget'!$Q$7,Z72-$Z$16)</f>
        <v>41.013333333333506</v>
      </c>
      <c r="AA73" s="83"/>
      <c r="AB73" s="182">
        <f ca="1">(M73*G73+P73*H73+S73*I73+J73*F73)/1000</f>
        <v>10.25</v>
      </c>
      <c r="AC73" s="183">
        <f t="shared" si="19"/>
        <v>6.9999999999999769</v>
      </c>
      <c r="AD73" s="184">
        <f t="shared" ca="1" si="20"/>
        <v>1.6850000000000001</v>
      </c>
      <c r="AE73" s="185">
        <f t="shared" ca="1" si="23"/>
        <v>1531.0466666666669</v>
      </c>
      <c r="AF73" s="184">
        <f t="shared" ca="1" si="12"/>
        <v>-595.6200000000083</v>
      </c>
      <c r="AG73" s="186"/>
      <c r="AH73" s="96"/>
    </row>
    <row r="74" spans="1:34" x14ac:dyDescent="0.2">
      <c r="A74" s="64">
        <f t="shared" si="16"/>
        <v>3</v>
      </c>
      <c r="B74" s="187">
        <f t="shared" si="13"/>
        <v>42623</v>
      </c>
      <c r="C74" s="74"/>
      <c r="D74" s="225">
        <v>5</v>
      </c>
      <c r="E74" s="240">
        <f t="shared" ca="1" si="14"/>
        <v>0</v>
      </c>
      <c r="F74" s="219">
        <f t="shared" ca="1" si="21"/>
        <v>0</v>
      </c>
      <c r="G74" s="220">
        <f t="shared" ca="1" si="22"/>
        <v>35</v>
      </c>
      <c r="H74" s="221">
        <f t="shared" si="24"/>
        <v>20</v>
      </c>
      <c r="I74" s="241">
        <f>SUM($D$16:D69)+$I$17+$H$17</f>
        <v>535</v>
      </c>
      <c r="J74" s="232">
        <v>12</v>
      </c>
      <c r="K74" s="86">
        <v>7</v>
      </c>
      <c r="L74" s="81">
        <f t="shared" ca="1" si="8"/>
        <v>0</v>
      </c>
      <c r="M74" s="85">
        <v>10</v>
      </c>
      <c r="N74" s="86">
        <v>0</v>
      </c>
      <c r="O74" s="81">
        <f t="shared" ca="1" si="17"/>
        <v>0</v>
      </c>
      <c r="P74" s="87">
        <v>15</v>
      </c>
      <c r="Q74" s="86">
        <v>3</v>
      </c>
      <c r="R74" s="81">
        <f t="shared" si="9"/>
        <v>60</v>
      </c>
      <c r="S74" s="85">
        <v>18</v>
      </c>
      <c r="T74" s="86">
        <v>3</v>
      </c>
      <c r="U74" s="81">
        <f t="shared" si="10"/>
        <v>1605</v>
      </c>
      <c r="V74" s="82">
        <v>40</v>
      </c>
      <c r="W74" s="84"/>
      <c r="X74" s="188">
        <f>IF(B74&gt;'Spring Feed Budget'!$Q$5,'Spring Feed Budget'!$Q$6,X73-$X$16)</f>
        <v>2120.0000000000086</v>
      </c>
      <c r="Y74" s="189">
        <f t="shared" si="18"/>
        <v>133.26072128074236</v>
      </c>
      <c r="Z74" s="190">
        <f>IF(B74&gt;'Spring Feed Budget'!$Q$5,'Spring Feed Budget'!$Q$7,Z73-$Z$16)</f>
        <v>39.960000000000171</v>
      </c>
      <c r="AA74" s="83"/>
      <c r="AB74" s="182">
        <f ca="1">(M74*G74+P73*H74+S74*I74+J74*F74)/1000</f>
        <v>10.28</v>
      </c>
      <c r="AC74" s="183">
        <f t="shared" si="19"/>
        <v>6.9999999999999769</v>
      </c>
      <c r="AD74" s="184">
        <f t="shared" ca="1" si="20"/>
        <v>1.665</v>
      </c>
      <c r="AE74" s="185">
        <f t="shared" ca="1" si="23"/>
        <v>1513.9466666666669</v>
      </c>
      <c r="AF74" s="184">
        <f t="shared" ca="1" si="12"/>
        <v>-606.0533333333417</v>
      </c>
      <c r="AG74" s="186"/>
      <c r="AH74" s="96"/>
    </row>
    <row r="75" spans="1:34" x14ac:dyDescent="0.2">
      <c r="A75" s="64">
        <f t="shared" si="16"/>
        <v>3</v>
      </c>
      <c r="B75" s="187">
        <f t="shared" si="13"/>
        <v>42624</v>
      </c>
      <c r="C75" s="74"/>
      <c r="D75" s="225">
        <v>5</v>
      </c>
      <c r="E75" s="240">
        <f t="shared" ca="1" si="14"/>
        <v>0</v>
      </c>
      <c r="F75" s="219">
        <f t="shared" ca="1" si="21"/>
        <v>0</v>
      </c>
      <c r="G75" s="220">
        <f t="shared" ca="1" si="22"/>
        <v>30</v>
      </c>
      <c r="H75" s="221">
        <f t="shared" si="24"/>
        <v>20</v>
      </c>
      <c r="I75" s="241">
        <f>SUM($D$16:D70)+$I$17+$H$17</f>
        <v>540</v>
      </c>
      <c r="J75" s="232">
        <v>12</v>
      </c>
      <c r="K75" s="86">
        <v>7</v>
      </c>
      <c r="L75" s="81">
        <f t="shared" ca="1" si="8"/>
        <v>0</v>
      </c>
      <c r="M75" s="85">
        <v>10</v>
      </c>
      <c r="N75" s="86">
        <v>0</v>
      </c>
      <c r="O75" s="81">
        <f t="shared" ca="1" si="17"/>
        <v>0</v>
      </c>
      <c r="P75" s="87">
        <v>15</v>
      </c>
      <c r="Q75" s="86">
        <v>3</v>
      </c>
      <c r="R75" s="81">
        <f t="shared" si="9"/>
        <v>60</v>
      </c>
      <c r="S75" s="85">
        <v>18</v>
      </c>
      <c r="T75" s="86">
        <v>3</v>
      </c>
      <c r="U75" s="81">
        <f t="shared" si="10"/>
        <v>1620</v>
      </c>
      <c r="V75" s="82">
        <v>40</v>
      </c>
      <c r="W75" s="84"/>
      <c r="X75" s="188">
        <f>IF(B75&gt;'Spring Feed Budget'!$Q$5,'Spring Feed Budget'!$Q$6,X74-$X$16)</f>
        <v>2113.3333333333421</v>
      </c>
      <c r="Y75" s="189">
        <f t="shared" si="18"/>
        <v>137.1161016782749</v>
      </c>
      <c r="Z75" s="190">
        <f>IF(B75&gt;'Spring Feed Budget'!$Q$5,'Spring Feed Budget'!$Q$7,Z74-$Z$16)</f>
        <v>38.906666666666837</v>
      </c>
      <c r="AA75" s="83"/>
      <c r="AB75" s="182">
        <f ca="1">(M75*G75+P73*H75+S75*I75+J75*F75)/1000</f>
        <v>10.32</v>
      </c>
      <c r="AC75" s="183">
        <f t="shared" si="19"/>
        <v>6.9999999999999769</v>
      </c>
      <c r="AD75" s="184">
        <f t="shared" ca="1" si="20"/>
        <v>1.68</v>
      </c>
      <c r="AE75" s="185">
        <f t="shared" ca="1" si="23"/>
        <v>1496.5133333333335</v>
      </c>
      <c r="AF75" s="184">
        <f t="shared" ca="1" si="12"/>
        <v>-616.82000000000858</v>
      </c>
      <c r="AG75" s="186"/>
      <c r="AH75" s="96"/>
    </row>
    <row r="76" spans="1:34" x14ac:dyDescent="0.2">
      <c r="A76" s="64">
        <f t="shared" si="16"/>
        <v>3</v>
      </c>
      <c r="B76" s="187">
        <f t="shared" si="13"/>
        <v>42625</v>
      </c>
      <c r="C76" s="74"/>
      <c r="D76" s="225">
        <v>5</v>
      </c>
      <c r="E76" s="240">
        <f t="shared" ca="1" si="14"/>
        <v>0</v>
      </c>
      <c r="F76" s="219">
        <f t="shared" ca="1" si="21"/>
        <v>0</v>
      </c>
      <c r="G76" s="220">
        <f t="shared" ca="1" si="22"/>
        <v>25</v>
      </c>
      <c r="H76" s="221">
        <f t="shared" si="24"/>
        <v>20</v>
      </c>
      <c r="I76" s="241">
        <f>SUM($D$16:D71)+$I$17+$H$17</f>
        <v>545</v>
      </c>
      <c r="J76" s="232">
        <v>12</v>
      </c>
      <c r="K76" s="86">
        <v>7</v>
      </c>
      <c r="L76" s="81">
        <f t="shared" ca="1" si="8"/>
        <v>0</v>
      </c>
      <c r="M76" s="85">
        <v>10</v>
      </c>
      <c r="N76" s="86">
        <v>0</v>
      </c>
      <c r="O76" s="81">
        <f t="shared" ca="1" si="17"/>
        <v>0</v>
      </c>
      <c r="P76" s="87">
        <v>15</v>
      </c>
      <c r="Q76" s="86">
        <v>3</v>
      </c>
      <c r="R76" s="81">
        <f t="shared" si="9"/>
        <v>60</v>
      </c>
      <c r="S76" s="85">
        <v>18</v>
      </c>
      <c r="T76" s="86">
        <v>3</v>
      </c>
      <c r="U76" s="81">
        <f t="shared" si="10"/>
        <v>1635</v>
      </c>
      <c r="V76" s="82">
        <v>45</v>
      </c>
      <c r="W76" s="84"/>
      <c r="X76" s="188">
        <f>IF(B76&gt;'Spring Feed Budget'!$Q$5,'Spring Feed Budget'!$Q$6,X75-$X$16)</f>
        <v>2106.6666666666756</v>
      </c>
      <c r="Y76" s="189">
        <f t="shared" si="18"/>
        <v>141.07876458775004</v>
      </c>
      <c r="Z76" s="190">
        <f>IF(B76&gt;'Spring Feed Budget'!$Q$5,'Spring Feed Budget'!$Q$7,Z75-$Z$16)</f>
        <v>37.853333333333502</v>
      </c>
      <c r="AA76" s="83"/>
      <c r="AB76" s="182">
        <f ca="1">(M76*G76+P73*H76+S76*I76+J76*F76)/1000</f>
        <v>10.36</v>
      </c>
      <c r="AC76" s="183">
        <f t="shared" si="19"/>
        <v>7.7499999999999769</v>
      </c>
      <c r="AD76" s="184">
        <f t="shared" ca="1" si="20"/>
        <v>1.6950000000000001</v>
      </c>
      <c r="AE76" s="185">
        <f t="shared" ca="1" si="23"/>
        <v>1478.9133333333336</v>
      </c>
      <c r="AF76" s="184">
        <f t="shared" ca="1" si="12"/>
        <v>-627.75333333334197</v>
      </c>
      <c r="AG76" s="186"/>
      <c r="AH76" s="96"/>
    </row>
    <row r="77" spans="1:34" x14ac:dyDescent="0.2">
      <c r="A77" s="64">
        <f t="shared" si="16"/>
        <v>3</v>
      </c>
      <c r="B77" s="187">
        <f t="shared" si="13"/>
        <v>42626</v>
      </c>
      <c r="C77" s="74"/>
      <c r="D77" s="225">
        <v>5</v>
      </c>
      <c r="E77" s="240">
        <f t="shared" ca="1" si="14"/>
        <v>0</v>
      </c>
      <c r="F77" s="219">
        <f t="shared" ca="1" si="21"/>
        <v>0</v>
      </c>
      <c r="G77" s="220">
        <f t="shared" ca="1" si="22"/>
        <v>20</v>
      </c>
      <c r="H77" s="221">
        <f t="shared" si="24"/>
        <v>20</v>
      </c>
      <c r="I77" s="241">
        <f>SUM($D$16:D72)+$I$17+$H$17</f>
        <v>550</v>
      </c>
      <c r="J77" s="232">
        <v>12</v>
      </c>
      <c r="K77" s="86">
        <v>7</v>
      </c>
      <c r="L77" s="81">
        <f t="shared" ca="1" si="8"/>
        <v>0</v>
      </c>
      <c r="M77" s="85">
        <v>10</v>
      </c>
      <c r="N77" s="86">
        <v>0</v>
      </c>
      <c r="O77" s="81">
        <f t="shared" ca="1" si="17"/>
        <v>0</v>
      </c>
      <c r="P77" s="87">
        <v>15</v>
      </c>
      <c r="Q77" s="86">
        <v>3</v>
      </c>
      <c r="R77" s="81">
        <f t="shared" si="9"/>
        <v>60</v>
      </c>
      <c r="S77" s="85">
        <v>18</v>
      </c>
      <c r="T77" s="86">
        <v>3</v>
      </c>
      <c r="U77" s="81">
        <f t="shared" si="10"/>
        <v>1650</v>
      </c>
      <c r="V77" s="82">
        <v>45</v>
      </c>
      <c r="W77" s="84"/>
      <c r="X77" s="188">
        <f>IF(B77&gt;'Spring Feed Budget'!$Q$5,'Spring Feed Budget'!$Q$6,X76-$X$16)</f>
        <v>2100.0000000000091</v>
      </c>
      <c r="Y77" s="189">
        <f t="shared" si="18"/>
        <v>145.15485154427176</v>
      </c>
      <c r="Z77" s="190">
        <f>IF(B77&gt;'Spring Feed Budget'!$Q$5,'Spring Feed Budget'!$Q$7,Z76-$Z$16)</f>
        <v>36.800000000000168</v>
      </c>
      <c r="AA77" s="83"/>
      <c r="AB77" s="182">
        <f ca="1">(M77*G77+P73*H77+S77*I77+J77*F77)/1000</f>
        <v>10.4</v>
      </c>
      <c r="AC77" s="183">
        <f t="shared" si="19"/>
        <v>7.7499999999999769</v>
      </c>
      <c r="AD77" s="184">
        <f t="shared" ca="1" si="20"/>
        <v>1.71</v>
      </c>
      <c r="AE77" s="185">
        <f t="shared" ca="1" si="23"/>
        <v>1466.146666666667</v>
      </c>
      <c r="AF77" s="184">
        <f t="shared" ca="1" si="12"/>
        <v>-633.85333333334211</v>
      </c>
      <c r="AG77" s="186"/>
      <c r="AH77" s="96"/>
    </row>
    <row r="78" spans="1:34" x14ac:dyDescent="0.2">
      <c r="A78" s="64">
        <f t="shared" si="16"/>
        <v>3</v>
      </c>
      <c r="B78" s="187">
        <f t="shared" si="13"/>
        <v>42627</v>
      </c>
      <c r="C78" s="74"/>
      <c r="D78" s="225">
        <v>5</v>
      </c>
      <c r="E78" s="240">
        <f t="shared" ca="1" si="14"/>
        <v>0</v>
      </c>
      <c r="F78" s="219">
        <f t="shared" ca="1" si="21"/>
        <v>0</v>
      </c>
      <c r="G78" s="220">
        <f t="shared" ca="1" si="22"/>
        <v>15</v>
      </c>
      <c r="H78" s="221">
        <f t="shared" si="24"/>
        <v>20</v>
      </c>
      <c r="I78" s="241">
        <f>SUM($D$16:D73)+$I$17+$H$17</f>
        <v>555</v>
      </c>
      <c r="J78" s="232">
        <v>12</v>
      </c>
      <c r="K78" s="86">
        <v>7</v>
      </c>
      <c r="L78" s="81">
        <f t="shared" ca="1" si="8"/>
        <v>0</v>
      </c>
      <c r="M78" s="85">
        <v>10</v>
      </c>
      <c r="N78" s="86">
        <v>0</v>
      </c>
      <c r="O78" s="81">
        <f t="shared" ca="1" si="17"/>
        <v>0</v>
      </c>
      <c r="P78" s="87">
        <v>15</v>
      </c>
      <c r="Q78" s="86">
        <v>3</v>
      </c>
      <c r="R78" s="81">
        <f t="shared" si="9"/>
        <v>60</v>
      </c>
      <c r="S78" s="85">
        <v>18</v>
      </c>
      <c r="T78" s="86">
        <v>3</v>
      </c>
      <c r="U78" s="81">
        <f t="shared" si="10"/>
        <v>1665</v>
      </c>
      <c r="V78" s="82">
        <v>45</v>
      </c>
      <c r="W78" s="84"/>
      <c r="X78" s="188">
        <f>IF(B78&gt;'Spring Feed Budget'!$Q$5,'Spring Feed Budget'!$Q$6,X77-$X$16)</f>
        <v>2093.3333333333426</v>
      </c>
      <c r="Y78" s="189">
        <f t="shared" si="18"/>
        <v>149.3510469937309</v>
      </c>
      <c r="Z78" s="190">
        <f>IF(B78&gt;'Spring Feed Budget'!$Q$5,'Spring Feed Budget'!$Q$7,Z77-$Z$16)</f>
        <v>35.746666666666833</v>
      </c>
      <c r="AA78" s="83"/>
      <c r="AB78" s="182">
        <f ca="1">(M78*G78+P73*H78+S78*I78+J78*F78)/1000</f>
        <v>10.44</v>
      </c>
      <c r="AC78" s="183">
        <f t="shared" si="19"/>
        <v>7.7499999999999769</v>
      </c>
      <c r="AD78" s="184">
        <f t="shared" ca="1" si="20"/>
        <v>1.7250000000000001</v>
      </c>
      <c r="AE78" s="185">
        <f t="shared" ca="1" si="23"/>
        <v>1453.2133333333336</v>
      </c>
      <c r="AF78" s="184">
        <f t="shared" ca="1" si="12"/>
        <v>-640.12000000000899</v>
      </c>
      <c r="AG78" s="186"/>
      <c r="AH78" s="96"/>
    </row>
    <row r="79" spans="1:34" x14ac:dyDescent="0.2">
      <c r="A79" s="64">
        <f t="shared" si="16"/>
        <v>4</v>
      </c>
      <c r="B79" s="187">
        <f t="shared" si="13"/>
        <v>42628</v>
      </c>
      <c r="C79" s="74"/>
      <c r="D79" s="225">
        <v>5</v>
      </c>
      <c r="E79" s="240">
        <f t="shared" ca="1" si="14"/>
        <v>0</v>
      </c>
      <c r="F79" s="219">
        <f t="shared" ca="1" si="21"/>
        <v>0</v>
      </c>
      <c r="G79" s="220">
        <f t="shared" ca="1" si="22"/>
        <v>10</v>
      </c>
      <c r="H79" s="221">
        <f t="shared" si="24"/>
        <v>20</v>
      </c>
      <c r="I79" s="241">
        <f>SUM($D$16:D74)+$I$17+$H$17</f>
        <v>560</v>
      </c>
      <c r="J79" s="232">
        <v>12</v>
      </c>
      <c r="K79" s="86">
        <v>7</v>
      </c>
      <c r="L79" s="81">
        <f t="shared" ca="1" si="8"/>
        <v>0</v>
      </c>
      <c r="M79" s="85">
        <v>10</v>
      </c>
      <c r="N79" s="86">
        <v>0</v>
      </c>
      <c r="O79" s="81">
        <f t="shared" ca="1" si="17"/>
        <v>0</v>
      </c>
      <c r="P79" s="87">
        <v>15</v>
      </c>
      <c r="Q79" s="86">
        <v>3</v>
      </c>
      <c r="R79" s="81">
        <f t="shared" si="9"/>
        <v>60</v>
      </c>
      <c r="S79" s="85">
        <v>18</v>
      </c>
      <c r="T79" s="86">
        <v>3</v>
      </c>
      <c r="U79" s="81">
        <f t="shared" si="10"/>
        <v>1680</v>
      </c>
      <c r="V79" s="82">
        <v>45</v>
      </c>
      <c r="W79" s="84"/>
      <c r="X79" s="188">
        <f>IF(B79&gt;'Spring Feed Budget'!$Q$5,'Spring Feed Budget'!$Q$6,X78-$X$16)</f>
        <v>2086.6666666666761</v>
      </c>
      <c r="Y79" s="189">
        <f t="shared" si="18"/>
        <v>153.67464422662866</v>
      </c>
      <c r="Z79" s="190">
        <f>IF(B79&gt;'Spring Feed Budget'!$Q$5,'Spring Feed Budget'!$Q$7,Z78-$Z$16)</f>
        <v>34.693333333333499</v>
      </c>
      <c r="AA79" s="83"/>
      <c r="AB79" s="182">
        <f ca="1">(M79*G79+P73*H79+S79*I79+J79*F79)/1000</f>
        <v>10.48</v>
      </c>
      <c r="AC79" s="183">
        <f t="shared" si="19"/>
        <v>7.7499999999999769</v>
      </c>
      <c r="AD79" s="184">
        <f t="shared" ca="1" si="20"/>
        <v>1.74</v>
      </c>
      <c r="AE79" s="185">
        <f t="shared" ca="1" si="23"/>
        <v>1440.1133333333337</v>
      </c>
      <c r="AF79" s="184">
        <f t="shared" ca="1" si="12"/>
        <v>-646.55333333334238</v>
      </c>
      <c r="AG79" s="186"/>
      <c r="AH79" s="96"/>
    </row>
    <row r="80" spans="1:34" x14ac:dyDescent="0.2">
      <c r="A80" s="64">
        <f t="shared" si="16"/>
        <v>4</v>
      </c>
      <c r="B80" s="187">
        <f t="shared" si="13"/>
        <v>42629</v>
      </c>
      <c r="C80" s="74"/>
      <c r="D80" s="225">
        <v>5</v>
      </c>
      <c r="E80" s="240">
        <f t="shared" ca="1" si="14"/>
        <v>0</v>
      </c>
      <c r="F80" s="219">
        <f t="shared" ca="1" si="21"/>
        <v>0</v>
      </c>
      <c r="G80" s="220">
        <f t="shared" ca="1" si="22"/>
        <v>5</v>
      </c>
      <c r="H80" s="221">
        <f t="shared" si="24"/>
        <v>20</v>
      </c>
      <c r="I80" s="241">
        <f>SUM($D$16:D75)+$I$17+$H$17</f>
        <v>565</v>
      </c>
      <c r="J80" s="232">
        <v>12</v>
      </c>
      <c r="K80" s="86">
        <v>7</v>
      </c>
      <c r="L80" s="81">
        <f t="shared" ca="1" si="8"/>
        <v>0</v>
      </c>
      <c r="M80" s="85">
        <v>10</v>
      </c>
      <c r="N80" s="86">
        <v>0</v>
      </c>
      <c r="O80" s="81">
        <f t="shared" ca="1" si="17"/>
        <v>0</v>
      </c>
      <c r="P80" s="87">
        <v>15</v>
      </c>
      <c r="Q80" s="86">
        <v>3</v>
      </c>
      <c r="R80" s="81">
        <f t="shared" si="9"/>
        <v>60</v>
      </c>
      <c r="S80" s="85">
        <v>18</v>
      </c>
      <c r="T80" s="86">
        <v>3</v>
      </c>
      <c r="U80" s="81">
        <f t="shared" si="10"/>
        <v>1695</v>
      </c>
      <c r="V80" s="82">
        <v>45</v>
      </c>
      <c r="W80" s="84"/>
      <c r="X80" s="188">
        <f>IF(B80&gt;'Spring Feed Budget'!$Q$5,'Spring Feed Budget'!$Q$6,X79-$X$16)</f>
        <v>2080.0000000000095</v>
      </c>
      <c r="Y80" s="189">
        <f t="shared" si="18"/>
        <v>158.13362163447644</v>
      </c>
      <c r="Z80" s="190">
        <f>IF(B80&gt;'Spring Feed Budget'!$Q$5,'Spring Feed Budget'!$Q$7,Z79-$Z$16)</f>
        <v>33.640000000000164</v>
      </c>
      <c r="AA80" s="83"/>
      <c r="AB80" s="182">
        <f ca="1">(M80*G80+P80*H80+S80*I80+J80*F80)/1000</f>
        <v>10.52</v>
      </c>
      <c r="AC80" s="183">
        <f t="shared" si="19"/>
        <v>7.7499999999999769</v>
      </c>
      <c r="AD80" s="184">
        <f t="shared" ca="1" si="20"/>
        <v>1.7549999999999999</v>
      </c>
      <c r="AE80" s="185">
        <f t="shared" ca="1" si="23"/>
        <v>1426.846666666667</v>
      </c>
      <c r="AF80" s="184">
        <f t="shared" ca="1" si="12"/>
        <v>-653.15333333334252</v>
      </c>
      <c r="AG80" s="186"/>
      <c r="AH80" s="96"/>
    </row>
    <row r="81" spans="1:34" x14ac:dyDescent="0.2">
      <c r="A81" s="64">
        <f t="shared" ref="A81:A109" si="25">IF(Y81&lt;($D$5/4),0,IF(Y81&lt;($D$5/2),1,IF(Y81&lt;($D$5*0.75),2,IF(Y81&lt;$D$5,3,4))))</f>
        <v>4</v>
      </c>
      <c r="B81" s="187">
        <f t="shared" si="13"/>
        <v>42630</v>
      </c>
      <c r="C81" s="74"/>
      <c r="D81" s="225">
        <v>0</v>
      </c>
      <c r="E81" s="240">
        <f t="shared" ca="1" si="14"/>
        <v>0</v>
      </c>
      <c r="F81" s="219">
        <f t="shared" ca="1" si="21"/>
        <v>0</v>
      </c>
      <c r="G81" s="220">
        <f t="shared" ca="1" si="22"/>
        <v>0</v>
      </c>
      <c r="H81" s="221">
        <f t="shared" si="24"/>
        <v>20</v>
      </c>
      <c r="I81" s="241">
        <f>SUM($D$16:D76)+$I$17+$H$17</f>
        <v>570</v>
      </c>
      <c r="J81" s="232">
        <v>12</v>
      </c>
      <c r="K81" s="86">
        <v>7</v>
      </c>
      <c r="L81" s="81">
        <f t="shared" ca="1" si="8"/>
        <v>0</v>
      </c>
      <c r="M81" s="85">
        <v>10</v>
      </c>
      <c r="N81" s="86">
        <v>0</v>
      </c>
      <c r="O81" s="81">
        <f t="shared" ref="O81:O109" ca="1" si="26">N81*G81</f>
        <v>0</v>
      </c>
      <c r="P81" s="87">
        <v>15</v>
      </c>
      <c r="Q81" s="86">
        <v>3</v>
      </c>
      <c r="R81" s="81">
        <f t="shared" si="9"/>
        <v>60</v>
      </c>
      <c r="S81" s="85">
        <v>18</v>
      </c>
      <c r="T81" s="86">
        <v>3</v>
      </c>
      <c r="U81" s="81">
        <f t="shared" si="10"/>
        <v>1710</v>
      </c>
      <c r="V81" s="82">
        <v>45</v>
      </c>
      <c r="W81" s="84"/>
      <c r="X81" s="188">
        <f>IF(B81&gt;'Spring Feed Budget'!$Q$5,'Spring Feed Budget'!$Q$6,X80-$X$16)</f>
        <v>2073.333333333343</v>
      </c>
      <c r="Y81" s="189">
        <f t="shared" ref="Y81:Y109" si="27">$D$5/Z81+Y80</f>
        <v>162.73673129077756</v>
      </c>
      <c r="Z81" s="190">
        <f>IF(B81&gt;'Spring Feed Budget'!$Q$5,'Spring Feed Budget'!$Q$7,Z80-$Z$16)</f>
        <v>32.586666666666829</v>
      </c>
      <c r="AA81" s="83"/>
      <c r="AB81" s="182">
        <f ca="1">(M81*G81+P80*H81+S81*I81+J81*F81)/1000</f>
        <v>10.56</v>
      </c>
      <c r="AC81" s="183">
        <f t="shared" ref="AC81:AC109" si="28">IF(W81="",(X81-X82+V81)*$D$5/1000,(W81-X82+V81)*$D$5/1000)</f>
        <v>7.7499999999999769</v>
      </c>
      <c r="AD81" s="184">
        <f t="shared" ref="AD81:AD109" ca="1" si="29">(N81*G81+Q81*H81+T81*I81+K81*F81)/1000</f>
        <v>1.77</v>
      </c>
      <c r="AE81" s="185">
        <f t="shared" ca="1" si="23"/>
        <v>1413.4133333333336</v>
      </c>
      <c r="AF81" s="184">
        <f t="shared" ca="1" si="12"/>
        <v>-659.9200000000094</v>
      </c>
      <c r="AG81" s="186"/>
      <c r="AH81" s="96"/>
    </row>
    <row r="82" spans="1:34" x14ac:dyDescent="0.2">
      <c r="A82" s="64">
        <f t="shared" si="25"/>
        <v>4</v>
      </c>
      <c r="B82" s="187">
        <f t="shared" si="13"/>
        <v>42631</v>
      </c>
      <c r="C82" s="74"/>
      <c r="D82" s="225">
        <v>0</v>
      </c>
      <c r="E82" s="240">
        <f t="shared" ca="1" si="14"/>
        <v>0</v>
      </c>
      <c r="F82" s="219">
        <f t="shared" ca="1" si="21"/>
        <v>0</v>
      </c>
      <c r="G82" s="220">
        <f t="shared" ref="G82:G109" ca="1" si="30">G81+OFFSET(D82,$F$6-1,0)-D81</f>
        <v>0</v>
      </c>
      <c r="H82" s="221">
        <f t="shared" si="24"/>
        <v>15</v>
      </c>
      <c r="I82" s="241">
        <f>SUM($D$16:D77)+$I$17+$H$17</f>
        <v>575</v>
      </c>
      <c r="J82" s="232">
        <v>12</v>
      </c>
      <c r="K82" s="86">
        <v>7</v>
      </c>
      <c r="L82" s="81">
        <f t="shared" ref="L82:L109" ca="1" si="31">K82*F82</f>
        <v>0</v>
      </c>
      <c r="M82" s="85">
        <v>10</v>
      </c>
      <c r="N82" s="86">
        <v>0</v>
      </c>
      <c r="O82" s="81">
        <f t="shared" ca="1" si="26"/>
        <v>0</v>
      </c>
      <c r="P82" s="87">
        <v>15</v>
      </c>
      <c r="Q82" s="86">
        <v>3</v>
      </c>
      <c r="R82" s="81">
        <f t="shared" ref="R82:R109" si="32">Q82*H82</f>
        <v>45</v>
      </c>
      <c r="S82" s="85">
        <v>18</v>
      </c>
      <c r="T82" s="86">
        <v>3</v>
      </c>
      <c r="U82" s="81">
        <f t="shared" ref="U82:U109" si="33">T82*I82</f>
        <v>1725</v>
      </c>
      <c r="V82" s="82">
        <v>45</v>
      </c>
      <c r="W82" s="84"/>
      <c r="X82" s="188">
        <f>IF(B82&gt;'Spring Feed Budget'!$Q$5,'Spring Feed Budget'!$Q$6,X81-$X$16)</f>
        <v>2066.6666666666765</v>
      </c>
      <c r="Y82" s="189">
        <f t="shared" si="27"/>
        <v>167.49360232671833</v>
      </c>
      <c r="Z82" s="190">
        <f>IF(B82&gt;'Spring Feed Budget'!$Q$5,'Spring Feed Budget'!$Q$7,Z81-$Z$16)</f>
        <v>31.533333333333495</v>
      </c>
      <c r="AA82" s="83"/>
      <c r="AB82" s="182">
        <f ca="1">(M82*G82+P80*H82+S82*I82+J82*F82)/1000</f>
        <v>10.574999999999999</v>
      </c>
      <c r="AC82" s="183">
        <f t="shared" si="28"/>
        <v>7.7499999999999769</v>
      </c>
      <c r="AD82" s="184">
        <f t="shared" ca="1" si="29"/>
        <v>1.77</v>
      </c>
      <c r="AE82" s="185">
        <f t="shared" ref="AE82:AE109" ca="1" si="34">IF(W82="",AE81+V81+(AD81-AB81)*1000/$D$5,W82)</f>
        <v>1399.8133333333337</v>
      </c>
      <c r="AF82" s="184">
        <f t="shared" ref="AF82:AF109" ca="1" si="35">(AE82-X82)</f>
        <v>-666.85333333334279</v>
      </c>
      <c r="AG82" s="186"/>
      <c r="AH82" s="96"/>
    </row>
    <row r="83" spans="1:34" x14ac:dyDescent="0.2">
      <c r="A83" s="64">
        <f t="shared" si="25"/>
        <v>4</v>
      </c>
      <c r="B83" s="187">
        <f>B82+1</f>
        <v>42632</v>
      </c>
      <c r="C83" s="74"/>
      <c r="D83" s="225">
        <v>0</v>
      </c>
      <c r="E83" s="240">
        <f t="shared" ca="1" si="14"/>
        <v>0</v>
      </c>
      <c r="F83" s="219">
        <f t="shared" ca="1" si="21"/>
        <v>0</v>
      </c>
      <c r="G83" s="220">
        <f t="shared" ca="1" si="30"/>
        <v>0</v>
      </c>
      <c r="H83" s="221">
        <f t="shared" si="24"/>
        <v>10</v>
      </c>
      <c r="I83" s="241">
        <f>SUM($D$16:D78)+$I$17+$H$17</f>
        <v>580</v>
      </c>
      <c r="J83" s="232">
        <v>12</v>
      </c>
      <c r="K83" s="86">
        <v>7</v>
      </c>
      <c r="L83" s="81">
        <f t="shared" ca="1" si="31"/>
        <v>0</v>
      </c>
      <c r="M83" s="85">
        <v>10</v>
      </c>
      <c r="N83" s="86">
        <v>0</v>
      </c>
      <c r="O83" s="81">
        <f t="shared" ca="1" si="26"/>
        <v>0</v>
      </c>
      <c r="P83" s="87">
        <v>15</v>
      </c>
      <c r="Q83" s="86">
        <v>3</v>
      </c>
      <c r="R83" s="81">
        <f t="shared" si="32"/>
        <v>30</v>
      </c>
      <c r="S83" s="85">
        <v>18</v>
      </c>
      <c r="T83" s="86">
        <v>3</v>
      </c>
      <c r="U83" s="81">
        <f t="shared" si="33"/>
        <v>1740</v>
      </c>
      <c r="V83" s="82">
        <v>45</v>
      </c>
      <c r="W83" s="84"/>
      <c r="X83" s="188">
        <f>IF(B83&gt;'Spring Feed Budget'!$Q$5,'Spring Feed Budget'!$Q$6,X82-$X$16)</f>
        <v>2060.00000000001</v>
      </c>
      <c r="Y83" s="189">
        <f t="shared" si="27"/>
        <v>172.41486216923798</v>
      </c>
      <c r="Z83" s="190">
        <f>IF(B83&gt;'Spring Feed Budget'!$Q$5,'Spring Feed Budget'!$Q$7,Z82-$Z$16)</f>
        <v>30.48000000000016</v>
      </c>
      <c r="AA83" s="83"/>
      <c r="AB83" s="182">
        <f ca="1">(M83*G83+P80*H83+S83*I83+J83*F83)/1000</f>
        <v>10.59</v>
      </c>
      <c r="AC83" s="183">
        <f t="shared" si="28"/>
        <v>7.7499999999999769</v>
      </c>
      <c r="AD83" s="184">
        <f t="shared" ca="1" si="29"/>
        <v>1.77</v>
      </c>
      <c r="AE83" s="185">
        <f t="shared" ca="1" si="34"/>
        <v>1386.1133333333337</v>
      </c>
      <c r="AF83" s="184">
        <f t="shared" ca="1" si="35"/>
        <v>-673.88666666667632</v>
      </c>
      <c r="AG83" s="186"/>
      <c r="AH83" s="96"/>
    </row>
    <row r="84" spans="1:34" x14ac:dyDescent="0.2">
      <c r="A84" s="64">
        <f t="shared" si="25"/>
        <v>4</v>
      </c>
      <c r="B84" s="187">
        <f>B83+1</f>
        <v>42633</v>
      </c>
      <c r="C84" s="74"/>
      <c r="D84" s="225">
        <v>0</v>
      </c>
      <c r="E84" s="240">
        <f t="shared" ref="E84:E109" ca="1" si="36">$D$6-SUM(F84:I84)</f>
        <v>0</v>
      </c>
      <c r="F84" s="219">
        <f t="shared" ca="1" si="21"/>
        <v>0</v>
      </c>
      <c r="G84" s="220">
        <f t="shared" ca="1" si="30"/>
        <v>0</v>
      </c>
      <c r="H84" s="221">
        <f t="shared" si="24"/>
        <v>5</v>
      </c>
      <c r="I84" s="241">
        <f>SUM($D$16:D79)+$I$17+$H$17</f>
        <v>585</v>
      </c>
      <c r="J84" s="232">
        <v>12</v>
      </c>
      <c r="K84" s="86">
        <v>7</v>
      </c>
      <c r="L84" s="81">
        <f t="shared" ca="1" si="31"/>
        <v>0</v>
      </c>
      <c r="M84" s="85">
        <v>10</v>
      </c>
      <c r="N84" s="86">
        <v>0</v>
      </c>
      <c r="O84" s="81">
        <f t="shared" ca="1" si="26"/>
        <v>0</v>
      </c>
      <c r="P84" s="87">
        <v>15</v>
      </c>
      <c r="Q84" s="86">
        <v>3</v>
      </c>
      <c r="R84" s="81">
        <f t="shared" si="32"/>
        <v>15</v>
      </c>
      <c r="S84" s="85">
        <v>18</v>
      </c>
      <c r="T84" s="86">
        <v>3</v>
      </c>
      <c r="U84" s="81">
        <f t="shared" si="33"/>
        <v>1755</v>
      </c>
      <c r="V84" s="82">
        <v>50</v>
      </c>
      <c r="W84" s="84"/>
      <c r="X84" s="188">
        <f>IF(B84&gt;'Spring Feed Budget'!$Q$5,'Spring Feed Budget'!$Q$6,X83-$X$16)</f>
        <v>2053.3333333333435</v>
      </c>
      <c r="Y84" s="189">
        <f t="shared" si="27"/>
        <v>177.5122794778016</v>
      </c>
      <c r="Z84" s="190">
        <f>IF(B84&gt;'Spring Feed Budget'!$Q$5,'Spring Feed Budget'!$Q$7,Z83-$Z$16)</f>
        <v>29.426666666666826</v>
      </c>
      <c r="AA84" s="83"/>
      <c r="AB84" s="182">
        <f ca="1">(M84*G84+P80*H84+S84*I84+J84*F84)/1000</f>
        <v>10.605</v>
      </c>
      <c r="AC84" s="183">
        <f t="shared" si="28"/>
        <v>8.5000000000000107</v>
      </c>
      <c r="AD84" s="184">
        <f t="shared" ca="1" si="29"/>
        <v>1.77</v>
      </c>
      <c r="AE84" s="185">
        <f t="shared" ca="1" si="34"/>
        <v>1372.3133333333337</v>
      </c>
      <c r="AF84" s="184">
        <f t="shared" ca="1" si="35"/>
        <v>-681.02000000000976</v>
      </c>
      <c r="AG84" s="186"/>
      <c r="AH84" s="96"/>
    </row>
    <row r="85" spans="1:34" x14ac:dyDescent="0.2">
      <c r="A85" s="64">
        <f t="shared" si="25"/>
        <v>4</v>
      </c>
      <c r="B85" s="187">
        <f>B84+1</f>
        <v>42634</v>
      </c>
      <c r="C85" s="74"/>
      <c r="D85" s="225">
        <v>0</v>
      </c>
      <c r="E85" s="240">
        <f t="shared" ca="1" si="36"/>
        <v>0</v>
      </c>
      <c r="F85" s="219">
        <f t="shared" ca="1" si="21"/>
        <v>0</v>
      </c>
      <c r="G85" s="220">
        <f t="shared" ca="1" si="30"/>
        <v>0</v>
      </c>
      <c r="H85" s="221">
        <f>SUM(D81:D84)</f>
        <v>0</v>
      </c>
      <c r="I85" s="241">
        <f>SUM($D$16:D80)+$I$17+$H$17</f>
        <v>590</v>
      </c>
      <c r="J85" s="232">
        <v>12</v>
      </c>
      <c r="K85" s="86">
        <v>7</v>
      </c>
      <c r="L85" s="81">
        <f t="shared" ca="1" si="31"/>
        <v>0</v>
      </c>
      <c r="M85" s="85">
        <v>10</v>
      </c>
      <c r="N85" s="86">
        <v>0</v>
      </c>
      <c r="O85" s="81">
        <f t="shared" ca="1" si="26"/>
        <v>0</v>
      </c>
      <c r="P85" s="87">
        <v>15</v>
      </c>
      <c r="Q85" s="86">
        <v>3</v>
      </c>
      <c r="R85" s="81">
        <f t="shared" si="32"/>
        <v>0</v>
      </c>
      <c r="S85" s="85">
        <v>18</v>
      </c>
      <c r="T85" s="86">
        <v>3</v>
      </c>
      <c r="U85" s="81">
        <f t="shared" si="33"/>
        <v>1770</v>
      </c>
      <c r="V85" s="82">
        <v>50</v>
      </c>
      <c r="W85" s="84"/>
      <c r="X85" s="188">
        <f>IF(B85&gt;'Spring Feed Budget'!$Q$5,'Spring Feed Budget'!$Q$6,X84-$X$16)</f>
        <v>2046.6666666666767</v>
      </c>
      <c r="Y85" s="189">
        <f t="shared" si="27"/>
        <v>182.79893361313992</v>
      </c>
      <c r="Z85" s="190">
        <f>IF(B85&gt;'Spring Feed Budget'!$Q$5,'Spring Feed Budget'!$Q$7,Z84-$Z$16)</f>
        <v>28.373333333333491</v>
      </c>
      <c r="AA85" s="83"/>
      <c r="AB85" s="182">
        <f ca="1">(M85*G85+P80*H85+S85*I85+J85*F85)/1000</f>
        <v>10.62</v>
      </c>
      <c r="AC85" s="183">
        <f t="shared" si="28"/>
        <v>8.5000000000000107</v>
      </c>
      <c r="AD85" s="184">
        <f t="shared" ca="1" si="29"/>
        <v>1.77</v>
      </c>
      <c r="AE85" s="185">
        <f t="shared" ca="1" si="34"/>
        <v>1363.4133333333336</v>
      </c>
      <c r="AF85" s="184">
        <f t="shared" ca="1" si="35"/>
        <v>-683.25333333334311</v>
      </c>
      <c r="AG85" s="186"/>
      <c r="AH85" s="96"/>
    </row>
    <row r="86" spans="1:34" x14ac:dyDescent="0.2">
      <c r="A86" s="64">
        <f t="shared" si="25"/>
        <v>4</v>
      </c>
      <c r="B86" s="187">
        <f>B85+1</f>
        <v>42635</v>
      </c>
      <c r="C86" s="74"/>
      <c r="D86" s="225">
        <v>0</v>
      </c>
      <c r="E86" s="240">
        <f t="shared" ca="1" si="36"/>
        <v>0</v>
      </c>
      <c r="F86" s="219">
        <f t="shared" ca="1" si="21"/>
        <v>0</v>
      </c>
      <c r="G86" s="220">
        <f t="shared" ca="1" si="30"/>
        <v>0</v>
      </c>
      <c r="H86" s="221">
        <f>SUM(D82:D85)</f>
        <v>0</v>
      </c>
      <c r="I86" s="241">
        <f>SUM($D$16:D81)+$I$17+$H$17</f>
        <v>590</v>
      </c>
      <c r="J86" s="232">
        <v>12</v>
      </c>
      <c r="K86" s="86">
        <v>7</v>
      </c>
      <c r="L86" s="81">
        <f t="shared" ca="1" si="31"/>
        <v>0</v>
      </c>
      <c r="M86" s="85">
        <v>10</v>
      </c>
      <c r="N86" s="86">
        <v>0</v>
      </c>
      <c r="O86" s="81">
        <f t="shared" ca="1" si="26"/>
        <v>0</v>
      </c>
      <c r="P86" s="87">
        <v>15</v>
      </c>
      <c r="Q86" s="86">
        <v>3</v>
      </c>
      <c r="R86" s="81">
        <f t="shared" si="32"/>
        <v>0</v>
      </c>
      <c r="S86" s="85">
        <v>19</v>
      </c>
      <c r="T86" s="86">
        <v>3</v>
      </c>
      <c r="U86" s="81">
        <f t="shared" si="33"/>
        <v>1770</v>
      </c>
      <c r="V86" s="82">
        <v>50</v>
      </c>
      <c r="W86" s="84"/>
      <c r="X86" s="188">
        <f>IF(B86&gt;'Spring Feed Budget'!$Q$5,'Spring Feed Budget'!$Q$6,X85-$X$16)</f>
        <v>2040.00000000001</v>
      </c>
      <c r="Y86" s="189">
        <f t="shared" si="27"/>
        <v>188.2894167756582</v>
      </c>
      <c r="Z86" s="190">
        <f>IF(B86&gt;'Spring Feed Budget'!$Q$5,'Spring Feed Budget'!$Q$7,Z85-$Z$16)</f>
        <v>27.320000000000157</v>
      </c>
      <c r="AA86" s="83"/>
      <c r="AB86" s="182">
        <f ca="1">(M86*G86+P80*H86+S86*I86+J86*F86)/1000</f>
        <v>11.21</v>
      </c>
      <c r="AC86" s="183">
        <f t="shared" si="28"/>
        <v>8.5000000000000107</v>
      </c>
      <c r="AD86" s="184">
        <f t="shared" ca="1" si="29"/>
        <v>1.77</v>
      </c>
      <c r="AE86" s="185">
        <f t="shared" ca="1" si="34"/>
        <v>1354.4133333333336</v>
      </c>
      <c r="AF86" s="184">
        <f t="shared" ca="1" si="35"/>
        <v>-685.58666666667636</v>
      </c>
      <c r="AG86" s="186"/>
      <c r="AH86" s="96"/>
    </row>
    <row r="87" spans="1:34" x14ac:dyDescent="0.2">
      <c r="A87" s="64">
        <f t="shared" si="25"/>
        <v>4</v>
      </c>
      <c r="B87" s="187">
        <f>B86+1</f>
        <v>42636</v>
      </c>
      <c r="C87" s="74"/>
      <c r="D87" s="225">
        <v>0</v>
      </c>
      <c r="E87" s="240">
        <f t="shared" ca="1" si="36"/>
        <v>0</v>
      </c>
      <c r="F87" s="219">
        <f t="shared" ca="1" si="21"/>
        <v>0</v>
      </c>
      <c r="G87" s="220">
        <f t="shared" ca="1" si="30"/>
        <v>0</v>
      </c>
      <c r="H87" s="221">
        <f t="shared" ref="H87:H108" si="37">SUM(D83:D86)</f>
        <v>0</v>
      </c>
      <c r="I87" s="241">
        <f>SUM($D$16:D82)+$I$17+$H$17</f>
        <v>590</v>
      </c>
      <c r="J87" s="232">
        <v>12</v>
      </c>
      <c r="K87" s="86">
        <v>7</v>
      </c>
      <c r="L87" s="81">
        <f t="shared" ca="1" si="31"/>
        <v>0</v>
      </c>
      <c r="M87" s="85">
        <v>10</v>
      </c>
      <c r="N87" s="86">
        <v>0</v>
      </c>
      <c r="O87" s="81">
        <f t="shared" ca="1" si="26"/>
        <v>0</v>
      </c>
      <c r="P87" s="87">
        <v>15</v>
      </c>
      <c r="Q87" s="86">
        <v>3</v>
      </c>
      <c r="R87" s="81">
        <f t="shared" si="32"/>
        <v>0</v>
      </c>
      <c r="S87" s="85">
        <v>19</v>
      </c>
      <c r="T87" s="86">
        <v>3</v>
      </c>
      <c r="U87" s="81">
        <f t="shared" si="33"/>
        <v>1770</v>
      </c>
      <c r="V87" s="82">
        <v>50</v>
      </c>
      <c r="W87" s="84"/>
      <c r="X87" s="188">
        <f>IF(B87&gt;'Spring Feed Budget'!$Q$5,'Spring Feed Budget'!$Q$6,X86-$X$16)</f>
        <v>2033.3333333333433</v>
      </c>
      <c r="Y87" s="189">
        <f t="shared" si="27"/>
        <v>194.00007667413533</v>
      </c>
      <c r="Z87" s="190">
        <f>IF(B87&gt;'Spring Feed Budget'!$Q$5,'Spring Feed Budget'!$Q$7,Z86-$Z$16)</f>
        <v>26.266666666666822</v>
      </c>
      <c r="AA87" s="83"/>
      <c r="AB87" s="182">
        <f ca="1">(M87*G87+P87*H87+S87*I87+J87*F87)/1000</f>
        <v>11.21</v>
      </c>
      <c r="AC87" s="183">
        <f t="shared" si="28"/>
        <v>8.5000000000000107</v>
      </c>
      <c r="AD87" s="184">
        <f t="shared" ca="1" si="29"/>
        <v>1.77</v>
      </c>
      <c r="AE87" s="185">
        <f t="shared" ca="1" si="34"/>
        <v>1341.4800000000002</v>
      </c>
      <c r="AF87" s="184">
        <f t="shared" ca="1" si="35"/>
        <v>-691.85333333334302</v>
      </c>
      <c r="AG87" s="186"/>
      <c r="AH87" s="96"/>
    </row>
    <row r="88" spans="1:34" x14ac:dyDescent="0.2">
      <c r="A88" s="64">
        <f t="shared" si="25"/>
        <v>4</v>
      </c>
      <c r="B88" s="187">
        <f t="shared" ref="B88:B108" si="38">B87+1</f>
        <v>42637</v>
      </c>
      <c r="C88" s="74"/>
      <c r="D88" s="225">
        <v>0</v>
      </c>
      <c r="E88" s="240">
        <f t="shared" ca="1" si="36"/>
        <v>0</v>
      </c>
      <c r="F88" s="219">
        <f t="shared" ca="1" si="21"/>
        <v>0</v>
      </c>
      <c r="G88" s="220">
        <f t="shared" ca="1" si="30"/>
        <v>0</v>
      </c>
      <c r="H88" s="221">
        <f t="shared" si="37"/>
        <v>0</v>
      </c>
      <c r="I88" s="241">
        <f>SUM($D$16:D83)+$I$17+$H$17</f>
        <v>590</v>
      </c>
      <c r="J88" s="232">
        <v>12</v>
      </c>
      <c r="K88" s="86">
        <v>7</v>
      </c>
      <c r="L88" s="81">
        <f t="shared" ca="1" si="31"/>
        <v>0</v>
      </c>
      <c r="M88" s="85">
        <v>10</v>
      </c>
      <c r="N88" s="86">
        <v>0</v>
      </c>
      <c r="O88" s="81">
        <f t="shared" ca="1" si="26"/>
        <v>0</v>
      </c>
      <c r="P88" s="87">
        <v>15</v>
      </c>
      <c r="Q88" s="86">
        <v>3</v>
      </c>
      <c r="R88" s="81">
        <f t="shared" si="32"/>
        <v>0</v>
      </c>
      <c r="S88" s="85">
        <v>19</v>
      </c>
      <c r="T88" s="86">
        <v>3</v>
      </c>
      <c r="U88" s="81">
        <f t="shared" si="33"/>
        <v>1770</v>
      </c>
      <c r="V88" s="82">
        <v>50</v>
      </c>
      <c r="W88" s="84"/>
      <c r="X88" s="188">
        <f>IF(B88&gt;'Spring Feed Budget'!$Q$5,'Spring Feed Budget'!$Q$6,X87-$X$16)</f>
        <v>2026.6666666666765</v>
      </c>
      <c r="Y88" s="189">
        <f t="shared" si="27"/>
        <v>199.94930988407711</v>
      </c>
      <c r="Z88" s="190">
        <f>IF(B88&gt;'Spring Feed Budget'!$Q$5,'Spring Feed Budget'!$Q$7,Z87-$Z$16)</f>
        <v>25.213333333333487</v>
      </c>
      <c r="AA88" s="83"/>
      <c r="AB88" s="182">
        <f ca="1">(M88*G88+P87*H88+S88*I88+J88*F88)/1000</f>
        <v>11.21</v>
      </c>
      <c r="AC88" s="183">
        <f t="shared" si="28"/>
        <v>8.5000000000000107</v>
      </c>
      <c r="AD88" s="184">
        <f t="shared" ca="1" si="29"/>
        <v>1.77</v>
      </c>
      <c r="AE88" s="185">
        <f t="shared" ca="1" si="34"/>
        <v>1328.5466666666669</v>
      </c>
      <c r="AF88" s="184">
        <f t="shared" ca="1" si="35"/>
        <v>-698.12000000000967</v>
      </c>
      <c r="AG88" s="186"/>
      <c r="AH88" s="96"/>
    </row>
    <row r="89" spans="1:34" x14ac:dyDescent="0.2">
      <c r="A89" s="64">
        <f t="shared" si="25"/>
        <v>4</v>
      </c>
      <c r="B89" s="187">
        <f t="shared" si="38"/>
        <v>42638</v>
      </c>
      <c r="C89" s="74"/>
      <c r="D89" s="225">
        <v>0</v>
      </c>
      <c r="E89" s="240">
        <f t="shared" ca="1" si="36"/>
        <v>0</v>
      </c>
      <c r="F89" s="219">
        <f t="shared" ca="1" si="21"/>
        <v>0</v>
      </c>
      <c r="G89" s="220">
        <f t="shared" ca="1" si="30"/>
        <v>0</v>
      </c>
      <c r="H89" s="221">
        <f t="shared" si="37"/>
        <v>0</v>
      </c>
      <c r="I89" s="241">
        <f>SUM($D$16:D84)+$I$17+$H$17</f>
        <v>590</v>
      </c>
      <c r="J89" s="232">
        <v>12</v>
      </c>
      <c r="K89" s="86">
        <v>7</v>
      </c>
      <c r="L89" s="81">
        <f t="shared" ca="1" si="31"/>
        <v>0</v>
      </c>
      <c r="M89" s="85">
        <v>10</v>
      </c>
      <c r="N89" s="86">
        <v>0</v>
      </c>
      <c r="O89" s="81">
        <f t="shared" ca="1" si="26"/>
        <v>0</v>
      </c>
      <c r="P89" s="87">
        <v>15</v>
      </c>
      <c r="Q89" s="86">
        <v>3</v>
      </c>
      <c r="R89" s="81">
        <f t="shared" si="32"/>
        <v>0</v>
      </c>
      <c r="S89" s="85">
        <v>19</v>
      </c>
      <c r="T89" s="86">
        <v>3</v>
      </c>
      <c r="U89" s="81">
        <f t="shared" si="33"/>
        <v>1770</v>
      </c>
      <c r="V89" s="82">
        <v>55</v>
      </c>
      <c r="W89" s="84"/>
      <c r="X89" s="188">
        <f>IF(B89&gt;'Spring Feed Budget'!$Q$5,'Spring Feed Budget'!$Q$6,X88-$X$16)</f>
        <v>2020.0000000000098</v>
      </c>
      <c r="Y89" s="189">
        <f t="shared" si="27"/>
        <v>206.15791915560024</v>
      </c>
      <c r="Z89" s="190">
        <f>IF(B89&gt;'Spring Feed Budget'!$Q$5,'Spring Feed Budget'!$Q$7,Z88-$Z$16)</f>
        <v>24.160000000000153</v>
      </c>
      <c r="AA89" s="83"/>
      <c r="AB89" s="182">
        <f ca="1">(M89*G89+P87*H89+S89*I89+J89*F89)/1000</f>
        <v>11.21</v>
      </c>
      <c r="AC89" s="183">
        <f t="shared" si="28"/>
        <v>9.2500000000000107</v>
      </c>
      <c r="AD89" s="184">
        <f t="shared" ca="1" si="29"/>
        <v>1.77</v>
      </c>
      <c r="AE89" s="185">
        <f t="shared" ca="1" si="34"/>
        <v>1315.6133333333335</v>
      </c>
      <c r="AF89" s="184">
        <f t="shared" ca="1" si="35"/>
        <v>-704.38666666667632</v>
      </c>
      <c r="AG89" s="186"/>
      <c r="AH89" s="96"/>
    </row>
    <row r="90" spans="1:34" x14ac:dyDescent="0.2">
      <c r="A90" s="64">
        <f t="shared" si="25"/>
        <v>4</v>
      </c>
      <c r="B90" s="187">
        <f t="shared" si="38"/>
        <v>42639</v>
      </c>
      <c r="C90" s="74"/>
      <c r="D90" s="225">
        <v>0</v>
      </c>
      <c r="E90" s="240">
        <f t="shared" ca="1" si="36"/>
        <v>0</v>
      </c>
      <c r="F90" s="219">
        <f t="shared" ca="1" si="21"/>
        <v>0</v>
      </c>
      <c r="G90" s="220">
        <f t="shared" ca="1" si="30"/>
        <v>0</v>
      </c>
      <c r="H90" s="221">
        <f t="shared" si="37"/>
        <v>0</v>
      </c>
      <c r="I90" s="241">
        <f>SUM($D$16:D85)+$I$17+$H$17</f>
        <v>590</v>
      </c>
      <c r="J90" s="232">
        <v>12</v>
      </c>
      <c r="K90" s="86">
        <v>7</v>
      </c>
      <c r="L90" s="81">
        <f t="shared" ca="1" si="31"/>
        <v>0</v>
      </c>
      <c r="M90" s="85">
        <v>10</v>
      </c>
      <c r="N90" s="86">
        <v>0</v>
      </c>
      <c r="O90" s="81">
        <f t="shared" ca="1" si="26"/>
        <v>0</v>
      </c>
      <c r="P90" s="87">
        <v>15</v>
      </c>
      <c r="Q90" s="86">
        <v>3</v>
      </c>
      <c r="R90" s="81">
        <f t="shared" si="32"/>
        <v>0</v>
      </c>
      <c r="S90" s="85">
        <v>19</v>
      </c>
      <c r="T90" s="86">
        <v>3</v>
      </c>
      <c r="U90" s="81">
        <f t="shared" si="33"/>
        <v>1770</v>
      </c>
      <c r="V90" s="82">
        <v>55</v>
      </c>
      <c r="W90" s="84"/>
      <c r="X90" s="188">
        <f>IF(B90&gt;'Spring Feed Budget'!$Q$5,'Spring Feed Budget'!$Q$6,X89-$X$16)</f>
        <v>2013.333333333343</v>
      </c>
      <c r="Y90" s="189">
        <f t="shared" si="27"/>
        <v>212.64955216194758</v>
      </c>
      <c r="Z90" s="190">
        <f>IF(B90&gt;'Spring Feed Budget'!$Q$5,'Spring Feed Budget'!$Q$7,Z89-$Z$16)</f>
        <v>23.106666666666818</v>
      </c>
      <c r="AA90" s="83"/>
      <c r="AB90" s="182">
        <f ca="1">(M90*G90+P87*H90+S90*I90+J90*F90)/1000</f>
        <v>11.21</v>
      </c>
      <c r="AC90" s="183">
        <f t="shared" si="28"/>
        <v>9.2500000000000107</v>
      </c>
      <c r="AD90" s="184">
        <f t="shared" ca="1" si="29"/>
        <v>1.77</v>
      </c>
      <c r="AE90" s="185">
        <f t="shared" ca="1" si="34"/>
        <v>1307.68</v>
      </c>
      <c r="AF90" s="184">
        <f t="shared" ca="1" si="35"/>
        <v>-705.65333333334297</v>
      </c>
      <c r="AG90" s="186"/>
      <c r="AH90" s="96"/>
    </row>
    <row r="91" spans="1:34" x14ac:dyDescent="0.2">
      <c r="A91" s="64">
        <f t="shared" si="25"/>
        <v>4</v>
      </c>
      <c r="B91" s="187">
        <f t="shared" si="38"/>
        <v>42640</v>
      </c>
      <c r="C91" s="74"/>
      <c r="D91" s="225">
        <v>0</v>
      </c>
      <c r="E91" s="240">
        <f t="shared" ca="1" si="36"/>
        <v>0</v>
      </c>
      <c r="F91" s="219">
        <f t="shared" ca="1" si="21"/>
        <v>0</v>
      </c>
      <c r="G91" s="220">
        <f t="shared" ca="1" si="30"/>
        <v>0</v>
      </c>
      <c r="H91" s="221">
        <f t="shared" si="37"/>
        <v>0</v>
      </c>
      <c r="I91" s="241">
        <f>SUM($D$16:D86)+$I$17+$H$17</f>
        <v>590</v>
      </c>
      <c r="J91" s="232">
        <v>12</v>
      </c>
      <c r="K91" s="86">
        <v>7</v>
      </c>
      <c r="L91" s="81">
        <f t="shared" ca="1" si="31"/>
        <v>0</v>
      </c>
      <c r="M91" s="85">
        <v>10</v>
      </c>
      <c r="N91" s="86">
        <v>0</v>
      </c>
      <c r="O91" s="81">
        <f t="shared" ca="1" si="26"/>
        <v>0</v>
      </c>
      <c r="P91" s="87">
        <v>15</v>
      </c>
      <c r="Q91" s="86">
        <v>3</v>
      </c>
      <c r="R91" s="81">
        <f t="shared" si="32"/>
        <v>0</v>
      </c>
      <c r="S91" s="85">
        <v>19</v>
      </c>
      <c r="T91" s="86">
        <v>3</v>
      </c>
      <c r="U91" s="81">
        <f t="shared" si="33"/>
        <v>1770</v>
      </c>
      <c r="V91" s="82">
        <v>55</v>
      </c>
      <c r="W91" s="84"/>
      <c r="X91" s="188">
        <f>IF(B91&gt;'Spring Feed Budget'!$Q$5,'Spring Feed Budget'!$Q$6,X90-$X$16)</f>
        <v>2006.6666666666763</v>
      </c>
      <c r="Y91" s="189">
        <f t="shared" si="27"/>
        <v>219.45124502772745</v>
      </c>
      <c r="Z91" s="190">
        <f>IF(B91&gt;'Spring Feed Budget'!$Q$5,'Spring Feed Budget'!$Q$7,Z90-$Z$16)</f>
        <v>22.053333333333484</v>
      </c>
      <c r="AA91" s="83"/>
      <c r="AB91" s="182">
        <f ca="1">(M91*G91+P87*H91+S91*I91+J91*F91)/1000</f>
        <v>11.21</v>
      </c>
      <c r="AC91" s="183">
        <f t="shared" si="28"/>
        <v>9.2500000000000107</v>
      </c>
      <c r="AD91" s="184">
        <f t="shared" ca="1" si="29"/>
        <v>1.77</v>
      </c>
      <c r="AE91" s="185">
        <f t="shared" ca="1" si="34"/>
        <v>1299.7466666666667</v>
      </c>
      <c r="AF91" s="184">
        <f t="shared" ca="1" si="35"/>
        <v>-706.92000000000962</v>
      </c>
      <c r="AG91" s="186"/>
      <c r="AH91" s="96"/>
    </row>
    <row r="92" spans="1:34" x14ac:dyDescent="0.2">
      <c r="A92" s="64">
        <f t="shared" si="25"/>
        <v>4</v>
      </c>
      <c r="B92" s="187">
        <f t="shared" si="38"/>
        <v>42641</v>
      </c>
      <c r="C92" s="74"/>
      <c r="D92" s="225">
        <v>0</v>
      </c>
      <c r="E92" s="240">
        <f t="shared" ca="1" si="36"/>
        <v>0</v>
      </c>
      <c r="F92" s="219">
        <f t="shared" ca="1" si="21"/>
        <v>0</v>
      </c>
      <c r="G92" s="220">
        <f t="shared" ca="1" si="30"/>
        <v>0</v>
      </c>
      <c r="H92" s="221">
        <f t="shared" si="37"/>
        <v>0</v>
      </c>
      <c r="I92" s="241">
        <f>SUM($D$16:D87)+$I$17+$H$17</f>
        <v>590</v>
      </c>
      <c r="J92" s="232">
        <v>12</v>
      </c>
      <c r="K92" s="86">
        <v>7</v>
      </c>
      <c r="L92" s="81">
        <f t="shared" ca="1" si="31"/>
        <v>0</v>
      </c>
      <c r="M92" s="85">
        <v>10</v>
      </c>
      <c r="N92" s="86">
        <v>0</v>
      </c>
      <c r="O92" s="81">
        <f t="shared" ca="1" si="26"/>
        <v>0</v>
      </c>
      <c r="P92" s="87">
        <v>15</v>
      </c>
      <c r="Q92" s="86">
        <v>3</v>
      </c>
      <c r="R92" s="81">
        <f t="shared" si="32"/>
        <v>0</v>
      </c>
      <c r="S92" s="85">
        <v>19</v>
      </c>
      <c r="T92" s="86">
        <v>3</v>
      </c>
      <c r="U92" s="81">
        <f t="shared" si="33"/>
        <v>1770</v>
      </c>
      <c r="V92" s="82">
        <v>55</v>
      </c>
      <c r="W92" s="84"/>
      <c r="X92" s="188">
        <f>IF(B92&gt;'Spring Feed Budget'!$Q$5,'Spring Feed Budget'!$Q$6,X91-$X$16)</f>
        <v>2000.0000000000095</v>
      </c>
      <c r="Y92" s="189">
        <f t="shared" si="27"/>
        <v>226.59410217058453</v>
      </c>
      <c r="Z92" s="190">
        <f>IF(B92&gt;'Spring Feed Budget'!$Q$5,'Spring Feed Budget'!$Q$7,Z91-$Z$16)</f>
        <v>21.000000000000149</v>
      </c>
      <c r="AA92" s="83"/>
      <c r="AB92" s="182">
        <f ca="1">(M92*G92+P87*H92+S92*I92+J92*F92)/1000</f>
        <v>11.21</v>
      </c>
      <c r="AC92" s="183">
        <f t="shared" si="28"/>
        <v>8.2500000000014335</v>
      </c>
      <c r="AD92" s="184">
        <f t="shared" ca="1" si="29"/>
        <v>1.77</v>
      </c>
      <c r="AE92" s="185">
        <f t="shared" ca="1" si="34"/>
        <v>1291.8133333333333</v>
      </c>
      <c r="AF92" s="184">
        <f t="shared" ca="1" si="35"/>
        <v>-708.18666666667627</v>
      </c>
      <c r="AG92" s="186"/>
      <c r="AH92" s="96"/>
    </row>
    <row r="93" spans="1:34" x14ac:dyDescent="0.2">
      <c r="A93" s="64">
        <f t="shared" si="25"/>
        <v>4</v>
      </c>
      <c r="B93" s="187">
        <f t="shared" si="38"/>
        <v>42642</v>
      </c>
      <c r="C93" s="74"/>
      <c r="D93" s="225">
        <v>0</v>
      </c>
      <c r="E93" s="240">
        <f t="shared" ca="1" si="36"/>
        <v>0</v>
      </c>
      <c r="F93" s="219">
        <f t="shared" ca="1" si="21"/>
        <v>0</v>
      </c>
      <c r="G93" s="220">
        <f t="shared" ca="1" si="30"/>
        <v>0</v>
      </c>
      <c r="H93" s="221">
        <f t="shared" ref="H93:H101" si="39">SUM(D89:D92)</f>
        <v>0</v>
      </c>
      <c r="I93" s="241">
        <f>SUM($D$16:D88)+$I$17+$H$17</f>
        <v>590</v>
      </c>
      <c r="J93" s="232">
        <v>12</v>
      </c>
      <c r="K93" s="86">
        <v>7</v>
      </c>
      <c r="L93" s="81">
        <f t="shared" ca="1" si="31"/>
        <v>0</v>
      </c>
      <c r="M93" s="85">
        <v>10</v>
      </c>
      <c r="N93" s="86">
        <v>0</v>
      </c>
      <c r="O93" s="81">
        <f t="shared" ca="1" si="26"/>
        <v>0</v>
      </c>
      <c r="P93" s="87">
        <v>15</v>
      </c>
      <c r="Q93" s="86">
        <v>3</v>
      </c>
      <c r="R93" s="81">
        <f t="shared" si="32"/>
        <v>0</v>
      </c>
      <c r="S93" s="85">
        <v>19</v>
      </c>
      <c r="T93" s="86">
        <v>3</v>
      </c>
      <c r="U93" s="81">
        <f t="shared" si="33"/>
        <v>1770</v>
      </c>
      <c r="V93" s="82">
        <v>55</v>
      </c>
      <c r="W93" s="84"/>
      <c r="X93" s="188">
        <f>IF(B93&gt;'Spring Feed Budget'!$Q$5,'Spring Feed Budget'!$Q$6,X92-$X$16)</f>
        <v>2000</v>
      </c>
      <c r="Y93" s="189">
        <f t="shared" si="27"/>
        <v>233.73695931344167</v>
      </c>
      <c r="Z93" s="190">
        <f>IF(B93&gt;'Spring Feed Budget'!$Q$5,'Spring Feed Budget'!$Q$7,Z92-$Z$16)</f>
        <v>21</v>
      </c>
      <c r="AA93" s="83"/>
      <c r="AB93" s="182">
        <f ca="1">(M93*G93+P87*H93+S93*I93+J93*F93)/1000</f>
        <v>11.21</v>
      </c>
      <c r="AC93" s="183">
        <f t="shared" si="28"/>
        <v>8.25</v>
      </c>
      <c r="AD93" s="184">
        <f t="shared" ca="1" si="29"/>
        <v>1.77</v>
      </c>
      <c r="AE93" s="185">
        <f t="shared" ca="1" si="34"/>
        <v>1283.8799999999999</v>
      </c>
      <c r="AF93" s="184">
        <f t="shared" ca="1" si="35"/>
        <v>-716.12000000000012</v>
      </c>
      <c r="AG93" s="186"/>
      <c r="AH93" s="96"/>
    </row>
    <row r="94" spans="1:34" x14ac:dyDescent="0.2">
      <c r="A94" s="64">
        <f t="shared" si="25"/>
        <v>4</v>
      </c>
      <c r="B94" s="187">
        <f t="shared" si="38"/>
        <v>42643</v>
      </c>
      <c r="C94" s="74"/>
      <c r="D94" s="225">
        <v>0</v>
      </c>
      <c r="E94" s="240">
        <f t="shared" ca="1" si="36"/>
        <v>0</v>
      </c>
      <c r="F94" s="219">
        <f t="shared" ca="1" si="21"/>
        <v>0</v>
      </c>
      <c r="G94" s="220">
        <f t="shared" ca="1" si="30"/>
        <v>0</v>
      </c>
      <c r="H94" s="221">
        <f t="shared" si="39"/>
        <v>0</v>
      </c>
      <c r="I94" s="241">
        <f>SUM($D$16:D89)+$I$17+$H$17</f>
        <v>590</v>
      </c>
      <c r="J94" s="232">
        <v>12</v>
      </c>
      <c r="K94" s="86">
        <v>7</v>
      </c>
      <c r="L94" s="81">
        <f t="shared" ca="1" si="31"/>
        <v>0</v>
      </c>
      <c r="M94" s="85">
        <v>10</v>
      </c>
      <c r="N94" s="86">
        <v>0</v>
      </c>
      <c r="O94" s="81">
        <f t="shared" ca="1" si="26"/>
        <v>0</v>
      </c>
      <c r="P94" s="87">
        <v>15</v>
      </c>
      <c r="Q94" s="86">
        <v>3</v>
      </c>
      <c r="R94" s="81">
        <f t="shared" si="32"/>
        <v>0</v>
      </c>
      <c r="S94" s="85">
        <v>19</v>
      </c>
      <c r="T94" s="86">
        <v>3</v>
      </c>
      <c r="U94" s="81">
        <f t="shared" si="33"/>
        <v>1770</v>
      </c>
      <c r="V94" s="82">
        <v>55</v>
      </c>
      <c r="W94" s="84"/>
      <c r="X94" s="188">
        <f>IF(B94&gt;'Spring Feed Budget'!$Q$5,'Spring Feed Budget'!$Q$6,X93-$X$16)</f>
        <v>2000</v>
      </c>
      <c r="Y94" s="189">
        <f t="shared" si="27"/>
        <v>240.87981645629881</v>
      </c>
      <c r="Z94" s="190">
        <f>IF(B94&gt;'Spring Feed Budget'!$Q$5,'Spring Feed Budget'!$Q$7,Z93-$Z$16)</f>
        <v>21</v>
      </c>
      <c r="AA94" s="83"/>
      <c r="AB94" s="182">
        <f ca="1">(M94*G94+P94*H94+S94*I94+J94*F94)/1000</f>
        <v>11.21</v>
      </c>
      <c r="AC94" s="183">
        <f t="shared" si="28"/>
        <v>8.25</v>
      </c>
      <c r="AD94" s="184">
        <f t="shared" ca="1" si="29"/>
        <v>1.77</v>
      </c>
      <c r="AE94" s="185">
        <f t="shared" ca="1" si="34"/>
        <v>1275.9466666666665</v>
      </c>
      <c r="AF94" s="184">
        <f t="shared" ca="1" si="35"/>
        <v>-724.05333333333351</v>
      </c>
      <c r="AG94" s="186"/>
      <c r="AH94" s="96"/>
    </row>
    <row r="95" spans="1:34" x14ac:dyDescent="0.2">
      <c r="A95" s="64">
        <f t="shared" si="25"/>
        <v>4</v>
      </c>
      <c r="B95" s="187">
        <f t="shared" si="38"/>
        <v>42644</v>
      </c>
      <c r="C95" s="74"/>
      <c r="D95" s="225">
        <v>0</v>
      </c>
      <c r="E95" s="240">
        <f t="shared" ca="1" si="36"/>
        <v>0</v>
      </c>
      <c r="F95" s="219">
        <f t="shared" ca="1" si="21"/>
        <v>0</v>
      </c>
      <c r="G95" s="220">
        <f t="shared" ca="1" si="30"/>
        <v>0</v>
      </c>
      <c r="H95" s="221">
        <f t="shared" si="39"/>
        <v>0</v>
      </c>
      <c r="I95" s="241">
        <f>SUM($D$16:D90)+$I$17+$H$17</f>
        <v>590</v>
      </c>
      <c r="J95" s="232">
        <v>12</v>
      </c>
      <c r="K95" s="86">
        <v>7</v>
      </c>
      <c r="L95" s="81">
        <f t="shared" ca="1" si="31"/>
        <v>0</v>
      </c>
      <c r="M95" s="85">
        <v>10</v>
      </c>
      <c r="N95" s="86">
        <v>0</v>
      </c>
      <c r="O95" s="81">
        <f t="shared" ca="1" si="26"/>
        <v>0</v>
      </c>
      <c r="P95" s="87">
        <v>15</v>
      </c>
      <c r="Q95" s="86">
        <v>3</v>
      </c>
      <c r="R95" s="81">
        <f t="shared" si="32"/>
        <v>0</v>
      </c>
      <c r="S95" s="85">
        <v>19</v>
      </c>
      <c r="T95" s="86">
        <v>3</v>
      </c>
      <c r="U95" s="81">
        <f t="shared" si="33"/>
        <v>1770</v>
      </c>
      <c r="V95" s="82">
        <v>60</v>
      </c>
      <c r="W95" s="84"/>
      <c r="X95" s="188">
        <f>IF(B95&gt;'Spring Feed Budget'!$Q$5,'Spring Feed Budget'!$Q$6,X94-$X$16)</f>
        <v>2000</v>
      </c>
      <c r="Y95" s="189">
        <f t="shared" si="27"/>
        <v>248.02267359915595</v>
      </c>
      <c r="Z95" s="190">
        <f>IF(B95&gt;'Spring Feed Budget'!$Q$5,'Spring Feed Budget'!$Q$7,Z94-$Z$16)</f>
        <v>21</v>
      </c>
      <c r="AA95" s="83"/>
      <c r="AB95" s="182">
        <f ca="1">(M95*G95+P94*H95+S95*I95+J95*F95)/1000</f>
        <v>11.21</v>
      </c>
      <c r="AC95" s="183">
        <f t="shared" si="28"/>
        <v>9</v>
      </c>
      <c r="AD95" s="184">
        <f t="shared" ca="1" si="29"/>
        <v>1.77</v>
      </c>
      <c r="AE95" s="185">
        <f t="shared" ca="1" si="34"/>
        <v>1268.0133333333331</v>
      </c>
      <c r="AF95" s="184">
        <f t="shared" ca="1" si="35"/>
        <v>-731.98666666666691</v>
      </c>
      <c r="AG95" s="186"/>
      <c r="AH95" s="96"/>
    </row>
    <row r="96" spans="1:34" x14ac:dyDescent="0.2">
      <c r="A96" s="64">
        <f t="shared" si="25"/>
        <v>4</v>
      </c>
      <c r="B96" s="187">
        <f t="shared" si="38"/>
        <v>42645</v>
      </c>
      <c r="C96" s="74"/>
      <c r="D96" s="225">
        <v>0</v>
      </c>
      <c r="E96" s="240">
        <f t="shared" ca="1" si="36"/>
        <v>0</v>
      </c>
      <c r="F96" s="219">
        <f t="shared" ca="1" si="21"/>
        <v>0</v>
      </c>
      <c r="G96" s="220">
        <f t="shared" ca="1" si="30"/>
        <v>0</v>
      </c>
      <c r="H96" s="221">
        <f t="shared" si="39"/>
        <v>0</v>
      </c>
      <c r="I96" s="241">
        <f>SUM($D$16:D91)+$I$17+$H$17</f>
        <v>590</v>
      </c>
      <c r="J96" s="232">
        <v>12</v>
      </c>
      <c r="K96" s="86">
        <v>7</v>
      </c>
      <c r="L96" s="81">
        <f t="shared" ca="1" si="31"/>
        <v>0</v>
      </c>
      <c r="M96" s="85">
        <v>10</v>
      </c>
      <c r="N96" s="86">
        <v>0</v>
      </c>
      <c r="O96" s="81">
        <f t="shared" ca="1" si="26"/>
        <v>0</v>
      </c>
      <c r="P96" s="87">
        <v>15</v>
      </c>
      <c r="Q96" s="86">
        <v>3</v>
      </c>
      <c r="R96" s="81">
        <f t="shared" si="32"/>
        <v>0</v>
      </c>
      <c r="S96" s="85">
        <v>19</v>
      </c>
      <c r="T96" s="86">
        <v>3</v>
      </c>
      <c r="U96" s="81">
        <f t="shared" si="33"/>
        <v>1770</v>
      </c>
      <c r="V96" s="82">
        <v>60</v>
      </c>
      <c r="W96" s="84"/>
      <c r="X96" s="188">
        <f>IF(B96&gt;'Spring Feed Budget'!$Q$5,'Spring Feed Budget'!$Q$6,X95-$X$16)</f>
        <v>2000</v>
      </c>
      <c r="Y96" s="189">
        <f t="shared" si="27"/>
        <v>255.16553074201309</v>
      </c>
      <c r="Z96" s="190">
        <f>IF(B96&gt;'Spring Feed Budget'!$Q$5,'Spring Feed Budget'!$Q$7,Z95-$Z$16)</f>
        <v>21</v>
      </c>
      <c r="AA96" s="83"/>
      <c r="AB96" s="182">
        <f ca="1">(M96*G96+P94*H96+S96*I96+J96*F96)/1000</f>
        <v>11.21</v>
      </c>
      <c r="AC96" s="183">
        <f t="shared" si="28"/>
        <v>9</v>
      </c>
      <c r="AD96" s="184">
        <f t="shared" ca="1" si="29"/>
        <v>1.77</v>
      </c>
      <c r="AE96" s="185">
        <f t="shared" ca="1" si="34"/>
        <v>1265.0799999999997</v>
      </c>
      <c r="AF96" s="184">
        <f t="shared" ca="1" si="35"/>
        <v>-734.9200000000003</v>
      </c>
      <c r="AG96" s="186"/>
      <c r="AH96" s="96"/>
    </row>
    <row r="97" spans="1:34" x14ac:dyDescent="0.2">
      <c r="A97" s="64">
        <f t="shared" si="25"/>
        <v>4</v>
      </c>
      <c r="B97" s="187">
        <f t="shared" si="38"/>
        <v>42646</v>
      </c>
      <c r="C97" s="74"/>
      <c r="D97" s="225">
        <v>0</v>
      </c>
      <c r="E97" s="240">
        <f t="shared" ca="1" si="36"/>
        <v>0</v>
      </c>
      <c r="F97" s="219">
        <f t="shared" ca="1" si="21"/>
        <v>0</v>
      </c>
      <c r="G97" s="220">
        <f t="shared" ca="1" si="30"/>
        <v>0</v>
      </c>
      <c r="H97" s="221">
        <f t="shared" si="39"/>
        <v>0</v>
      </c>
      <c r="I97" s="241">
        <f>SUM($D$16:D92)+$I$17+$H$17</f>
        <v>590</v>
      </c>
      <c r="J97" s="232">
        <v>12</v>
      </c>
      <c r="K97" s="86">
        <v>7</v>
      </c>
      <c r="L97" s="81">
        <f t="shared" ca="1" si="31"/>
        <v>0</v>
      </c>
      <c r="M97" s="85">
        <v>10</v>
      </c>
      <c r="N97" s="86">
        <v>0</v>
      </c>
      <c r="O97" s="81">
        <f t="shared" ca="1" si="26"/>
        <v>0</v>
      </c>
      <c r="P97" s="87">
        <v>15</v>
      </c>
      <c r="Q97" s="86">
        <v>3</v>
      </c>
      <c r="R97" s="81">
        <f t="shared" si="32"/>
        <v>0</v>
      </c>
      <c r="S97" s="85">
        <v>19</v>
      </c>
      <c r="T97" s="86">
        <v>3</v>
      </c>
      <c r="U97" s="81">
        <f t="shared" si="33"/>
        <v>1770</v>
      </c>
      <c r="V97" s="82">
        <v>60</v>
      </c>
      <c r="W97" s="84"/>
      <c r="X97" s="188">
        <f>IF(B97&gt;'Spring Feed Budget'!$Q$5,'Spring Feed Budget'!$Q$6,X96-$X$16)</f>
        <v>2000</v>
      </c>
      <c r="Y97" s="189">
        <f t="shared" si="27"/>
        <v>262.30838788487023</v>
      </c>
      <c r="Z97" s="190">
        <f>IF(B97&gt;'Spring Feed Budget'!$Q$5,'Spring Feed Budget'!$Q$7,Z96-$Z$16)</f>
        <v>21</v>
      </c>
      <c r="AA97" s="83"/>
      <c r="AB97" s="182">
        <f ca="1">(M97*G97+P94*H97+S97*I97+J97*F97)/1000</f>
        <v>11.21</v>
      </c>
      <c r="AC97" s="183">
        <f t="shared" si="28"/>
        <v>9</v>
      </c>
      <c r="AD97" s="184">
        <f t="shared" ca="1" si="29"/>
        <v>1.77</v>
      </c>
      <c r="AE97" s="185">
        <f t="shared" ca="1" si="34"/>
        <v>1262.1466666666663</v>
      </c>
      <c r="AF97" s="184">
        <f t="shared" ca="1" si="35"/>
        <v>-737.85333333333369</v>
      </c>
      <c r="AG97" s="186"/>
      <c r="AH97" s="96"/>
    </row>
    <row r="98" spans="1:34" x14ac:dyDescent="0.2">
      <c r="A98" s="64">
        <f t="shared" si="25"/>
        <v>4</v>
      </c>
      <c r="B98" s="187">
        <f t="shared" si="38"/>
        <v>42647</v>
      </c>
      <c r="C98" s="74"/>
      <c r="D98" s="225">
        <v>0</v>
      </c>
      <c r="E98" s="240">
        <f t="shared" ca="1" si="36"/>
        <v>0</v>
      </c>
      <c r="F98" s="219">
        <f t="shared" ca="1" si="21"/>
        <v>0</v>
      </c>
      <c r="G98" s="220">
        <f t="shared" ca="1" si="30"/>
        <v>0</v>
      </c>
      <c r="H98" s="221">
        <f t="shared" si="39"/>
        <v>0</v>
      </c>
      <c r="I98" s="241">
        <f>SUM($D$16:D93)+$I$17+$H$17</f>
        <v>590</v>
      </c>
      <c r="J98" s="232">
        <v>12</v>
      </c>
      <c r="K98" s="86">
        <v>7</v>
      </c>
      <c r="L98" s="81">
        <f t="shared" ca="1" si="31"/>
        <v>0</v>
      </c>
      <c r="M98" s="85">
        <v>10</v>
      </c>
      <c r="N98" s="86">
        <v>0</v>
      </c>
      <c r="O98" s="81">
        <f t="shared" ca="1" si="26"/>
        <v>0</v>
      </c>
      <c r="P98" s="87">
        <v>15</v>
      </c>
      <c r="Q98" s="86">
        <v>3</v>
      </c>
      <c r="R98" s="81">
        <f t="shared" si="32"/>
        <v>0</v>
      </c>
      <c r="S98" s="85">
        <v>19</v>
      </c>
      <c r="T98" s="86">
        <v>3</v>
      </c>
      <c r="U98" s="81">
        <f t="shared" si="33"/>
        <v>1770</v>
      </c>
      <c r="V98" s="82">
        <v>60</v>
      </c>
      <c r="W98" s="84"/>
      <c r="X98" s="188">
        <f>IF(B98&gt;'Spring Feed Budget'!$Q$5,'Spring Feed Budget'!$Q$6,X97-$X$16)</f>
        <v>2000</v>
      </c>
      <c r="Y98" s="189">
        <f t="shared" si="27"/>
        <v>269.4512450277274</v>
      </c>
      <c r="Z98" s="190">
        <f>IF(B98&gt;'Spring Feed Budget'!$Q$5,'Spring Feed Budget'!$Q$7,Z97-$Z$16)</f>
        <v>21</v>
      </c>
      <c r="AA98" s="83"/>
      <c r="AB98" s="182">
        <f ca="1">(M98*G98+P94*H98+S98*I98+J98*F98)/1000</f>
        <v>11.21</v>
      </c>
      <c r="AC98" s="183">
        <f t="shared" si="28"/>
        <v>9</v>
      </c>
      <c r="AD98" s="184">
        <f t="shared" ca="1" si="29"/>
        <v>1.77</v>
      </c>
      <c r="AE98" s="185">
        <f t="shared" ca="1" si="34"/>
        <v>1259.2133333333329</v>
      </c>
      <c r="AF98" s="184">
        <f t="shared" ca="1" si="35"/>
        <v>-740.78666666666709</v>
      </c>
      <c r="AG98" s="186"/>
      <c r="AH98" s="96"/>
    </row>
    <row r="99" spans="1:34" x14ac:dyDescent="0.2">
      <c r="A99" s="64">
        <f t="shared" si="25"/>
        <v>4</v>
      </c>
      <c r="B99" s="187">
        <f t="shared" si="38"/>
        <v>42648</v>
      </c>
      <c r="C99" s="74"/>
      <c r="D99" s="225">
        <v>0</v>
      </c>
      <c r="E99" s="240">
        <f t="shared" ca="1" si="36"/>
        <v>0</v>
      </c>
      <c r="F99" s="219">
        <f t="shared" ca="1" si="21"/>
        <v>0</v>
      </c>
      <c r="G99" s="220">
        <f t="shared" ca="1" si="30"/>
        <v>0</v>
      </c>
      <c r="H99" s="221">
        <f t="shared" si="39"/>
        <v>0</v>
      </c>
      <c r="I99" s="241">
        <f>SUM($D$16:D94)+$I$17+$H$17</f>
        <v>590</v>
      </c>
      <c r="J99" s="232">
        <v>12</v>
      </c>
      <c r="K99" s="86">
        <v>7</v>
      </c>
      <c r="L99" s="81">
        <f t="shared" ca="1" si="31"/>
        <v>0</v>
      </c>
      <c r="M99" s="85">
        <v>10</v>
      </c>
      <c r="N99" s="86">
        <v>0</v>
      </c>
      <c r="O99" s="81">
        <f t="shared" ca="1" si="26"/>
        <v>0</v>
      </c>
      <c r="P99" s="87">
        <v>15</v>
      </c>
      <c r="Q99" s="86">
        <v>3</v>
      </c>
      <c r="R99" s="81">
        <f t="shared" si="32"/>
        <v>0</v>
      </c>
      <c r="S99" s="85">
        <v>19</v>
      </c>
      <c r="T99" s="86">
        <v>3</v>
      </c>
      <c r="U99" s="81">
        <f t="shared" si="33"/>
        <v>1770</v>
      </c>
      <c r="V99" s="82">
        <v>60</v>
      </c>
      <c r="W99" s="84"/>
      <c r="X99" s="188">
        <f>IF(B99&gt;'Spring Feed Budget'!$Q$5,'Spring Feed Budget'!$Q$6,X98-$X$16)</f>
        <v>2000</v>
      </c>
      <c r="Y99" s="189">
        <f t="shared" si="27"/>
        <v>276.59410217058456</v>
      </c>
      <c r="Z99" s="190">
        <f>IF(B99&gt;'Spring Feed Budget'!$Q$5,'Spring Feed Budget'!$Q$7,Z98-$Z$16)</f>
        <v>21</v>
      </c>
      <c r="AA99" s="83"/>
      <c r="AB99" s="182">
        <f ca="1">(M99*G99+P94*H99+S99*I99+J99*F99)/1000</f>
        <v>11.21</v>
      </c>
      <c r="AC99" s="183">
        <f t="shared" si="28"/>
        <v>9</v>
      </c>
      <c r="AD99" s="184">
        <f t="shared" ca="1" si="29"/>
        <v>1.77</v>
      </c>
      <c r="AE99" s="185">
        <f t="shared" ca="1" si="34"/>
        <v>1256.2799999999995</v>
      </c>
      <c r="AF99" s="184">
        <f t="shared" ca="1" si="35"/>
        <v>-743.72000000000048</v>
      </c>
      <c r="AG99" s="186"/>
      <c r="AH99" s="96"/>
    </row>
    <row r="100" spans="1:34" x14ac:dyDescent="0.2">
      <c r="A100" s="64">
        <f t="shared" si="25"/>
        <v>4</v>
      </c>
      <c r="B100" s="187">
        <f t="shared" si="38"/>
        <v>42649</v>
      </c>
      <c r="C100" s="74"/>
      <c r="D100" s="225">
        <v>0</v>
      </c>
      <c r="E100" s="240">
        <f t="shared" ca="1" si="36"/>
        <v>0</v>
      </c>
      <c r="F100" s="219">
        <f t="shared" ca="1" si="21"/>
        <v>0</v>
      </c>
      <c r="G100" s="220">
        <f t="shared" ca="1" si="30"/>
        <v>0</v>
      </c>
      <c r="H100" s="221">
        <f t="shared" si="39"/>
        <v>0</v>
      </c>
      <c r="I100" s="241">
        <f>SUM($D$16:D95)+$I$17+$H$17</f>
        <v>590</v>
      </c>
      <c r="J100" s="232">
        <v>12</v>
      </c>
      <c r="K100" s="86">
        <v>7</v>
      </c>
      <c r="L100" s="81">
        <f t="shared" ca="1" si="31"/>
        <v>0</v>
      </c>
      <c r="M100" s="85">
        <v>10</v>
      </c>
      <c r="N100" s="86">
        <v>0</v>
      </c>
      <c r="O100" s="81">
        <f t="shared" ca="1" si="26"/>
        <v>0</v>
      </c>
      <c r="P100" s="87">
        <v>15</v>
      </c>
      <c r="Q100" s="86">
        <v>3</v>
      </c>
      <c r="R100" s="81">
        <f t="shared" si="32"/>
        <v>0</v>
      </c>
      <c r="S100" s="85">
        <v>19</v>
      </c>
      <c r="T100" s="86">
        <v>3</v>
      </c>
      <c r="U100" s="81">
        <f t="shared" si="33"/>
        <v>1770</v>
      </c>
      <c r="V100" s="82">
        <v>60</v>
      </c>
      <c r="W100" s="84"/>
      <c r="X100" s="188">
        <f>IF(B100&gt;'Spring Feed Budget'!$Q$5,'Spring Feed Budget'!$Q$6,X99-$X$16)</f>
        <v>2000</v>
      </c>
      <c r="Y100" s="189">
        <f t="shared" si="27"/>
        <v>283.73695931344173</v>
      </c>
      <c r="Z100" s="190">
        <f>IF(B100&gt;'Spring Feed Budget'!$Q$5,'Spring Feed Budget'!$Q$7,Z99-$Z$16)</f>
        <v>21</v>
      </c>
      <c r="AA100" s="83"/>
      <c r="AB100" s="182">
        <f ca="1">(M100*G100+P94*H100+S100*I100+J100*F100)/1000</f>
        <v>11.21</v>
      </c>
      <c r="AC100" s="183">
        <f t="shared" si="28"/>
        <v>9</v>
      </c>
      <c r="AD100" s="184">
        <f t="shared" ca="1" si="29"/>
        <v>1.77</v>
      </c>
      <c r="AE100" s="185">
        <f t="shared" ca="1" si="34"/>
        <v>1253.3466666666661</v>
      </c>
      <c r="AF100" s="184">
        <f t="shared" ca="1" si="35"/>
        <v>-746.65333333333388</v>
      </c>
      <c r="AG100" s="186"/>
      <c r="AH100" s="96"/>
    </row>
    <row r="101" spans="1:34" x14ac:dyDescent="0.2">
      <c r="A101" s="64">
        <f t="shared" si="25"/>
        <v>4</v>
      </c>
      <c r="B101" s="187">
        <f t="shared" si="38"/>
        <v>42650</v>
      </c>
      <c r="C101" s="74"/>
      <c r="D101" s="225">
        <v>0</v>
      </c>
      <c r="E101" s="240">
        <f t="shared" ca="1" si="36"/>
        <v>0</v>
      </c>
      <c r="F101" s="219">
        <f t="shared" ca="1" si="21"/>
        <v>0</v>
      </c>
      <c r="G101" s="220">
        <f t="shared" ca="1" si="30"/>
        <v>0</v>
      </c>
      <c r="H101" s="221">
        <f t="shared" si="39"/>
        <v>0</v>
      </c>
      <c r="I101" s="241">
        <f>SUM($D$16:D96)+$I$17+$H$17</f>
        <v>590</v>
      </c>
      <c r="J101" s="232">
        <v>12</v>
      </c>
      <c r="K101" s="86">
        <v>7</v>
      </c>
      <c r="L101" s="81">
        <f t="shared" ca="1" si="31"/>
        <v>0</v>
      </c>
      <c r="M101" s="85">
        <v>10</v>
      </c>
      <c r="N101" s="86">
        <v>0</v>
      </c>
      <c r="O101" s="81">
        <f t="shared" ca="1" si="26"/>
        <v>0</v>
      </c>
      <c r="P101" s="87">
        <v>15</v>
      </c>
      <c r="Q101" s="86">
        <v>3</v>
      </c>
      <c r="R101" s="81">
        <f t="shared" si="32"/>
        <v>0</v>
      </c>
      <c r="S101" s="85">
        <v>19</v>
      </c>
      <c r="T101" s="86">
        <v>3</v>
      </c>
      <c r="U101" s="81">
        <f t="shared" si="33"/>
        <v>1770</v>
      </c>
      <c r="V101" s="82">
        <v>60</v>
      </c>
      <c r="W101" s="84"/>
      <c r="X101" s="188">
        <f>IF(B101&gt;'Spring Feed Budget'!$Q$5,'Spring Feed Budget'!$Q$6,X100-$X$16)</f>
        <v>2000</v>
      </c>
      <c r="Y101" s="189">
        <f t="shared" si="27"/>
        <v>290.8798164562989</v>
      </c>
      <c r="Z101" s="190">
        <f>IF(B101&gt;'Spring Feed Budget'!$Q$5,'Spring Feed Budget'!$Q$7,Z100-$Z$16)</f>
        <v>21</v>
      </c>
      <c r="AA101" s="83"/>
      <c r="AB101" s="182">
        <f ca="1">(M101*G101+P101*H101+S101*I101+J101*F101)/1000</f>
        <v>11.21</v>
      </c>
      <c r="AC101" s="183">
        <f t="shared" si="28"/>
        <v>9</v>
      </c>
      <c r="AD101" s="184">
        <f t="shared" ca="1" si="29"/>
        <v>1.77</v>
      </c>
      <c r="AE101" s="185">
        <f t="shared" ca="1" si="34"/>
        <v>1250.4133333333327</v>
      </c>
      <c r="AF101" s="184">
        <f t="shared" ca="1" si="35"/>
        <v>-749.58666666666727</v>
      </c>
      <c r="AG101" s="186"/>
      <c r="AH101" s="96"/>
    </row>
    <row r="102" spans="1:34" ht="15" customHeight="1" x14ac:dyDescent="0.2">
      <c r="A102" s="64">
        <f t="shared" si="25"/>
        <v>4</v>
      </c>
      <c r="B102" s="187">
        <f t="shared" si="38"/>
        <v>42651</v>
      </c>
      <c r="C102" s="74"/>
      <c r="D102" s="225">
        <v>0</v>
      </c>
      <c r="E102" s="240">
        <f t="shared" ca="1" si="36"/>
        <v>0</v>
      </c>
      <c r="F102" s="219">
        <f t="shared" ca="1" si="21"/>
        <v>0</v>
      </c>
      <c r="G102" s="220">
        <f t="shared" ca="1" si="30"/>
        <v>0</v>
      </c>
      <c r="H102" s="221">
        <f t="shared" si="37"/>
        <v>0</v>
      </c>
      <c r="I102" s="241">
        <f>SUM($D$16:D97)+$I$17+$H$17</f>
        <v>590</v>
      </c>
      <c r="J102" s="232">
        <v>12</v>
      </c>
      <c r="K102" s="86">
        <v>7</v>
      </c>
      <c r="L102" s="81">
        <f t="shared" ca="1" si="31"/>
        <v>0</v>
      </c>
      <c r="M102" s="85">
        <v>10</v>
      </c>
      <c r="N102" s="86">
        <v>0</v>
      </c>
      <c r="O102" s="81">
        <f t="shared" ca="1" si="26"/>
        <v>0</v>
      </c>
      <c r="P102" s="87">
        <v>15</v>
      </c>
      <c r="Q102" s="86">
        <v>3</v>
      </c>
      <c r="R102" s="81">
        <f t="shared" si="32"/>
        <v>0</v>
      </c>
      <c r="S102" s="85">
        <v>19</v>
      </c>
      <c r="T102" s="86">
        <v>3</v>
      </c>
      <c r="U102" s="81">
        <f t="shared" si="33"/>
        <v>1770</v>
      </c>
      <c r="V102" s="82">
        <v>60</v>
      </c>
      <c r="W102" s="84"/>
      <c r="X102" s="188">
        <f>IF(B102&gt;'Spring Feed Budget'!$Q$5,'Spring Feed Budget'!$Q$6,X101-$X$16)</f>
        <v>2000</v>
      </c>
      <c r="Y102" s="189">
        <f t="shared" si="27"/>
        <v>298.02267359915606</v>
      </c>
      <c r="Z102" s="190">
        <f>IF(B102&gt;'Spring Feed Budget'!$Q$5,'Spring Feed Budget'!$Q$7,Z101-$Z$16)</f>
        <v>21</v>
      </c>
      <c r="AA102" s="83"/>
      <c r="AB102" s="182">
        <f ca="1">(M102*G102+P101*H102+S102*I102+J102*F102)/1000</f>
        <v>11.21</v>
      </c>
      <c r="AC102" s="183">
        <f t="shared" si="28"/>
        <v>9</v>
      </c>
      <c r="AD102" s="184">
        <f t="shared" ca="1" si="29"/>
        <v>1.77</v>
      </c>
      <c r="AE102" s="185">
        <f t="shared" ca="1" si="34"/>
        <v>1247.4799999999993</v>
      </c>
      <c r="AF102" s="184">
        <f t="shared" ca="1" si="35"/>
        <v>-752.52000000000066</v>
      </c>
      <c r="AG102" s="186"/>
      <c r="AH102" s="96"/>
    </row>
    <row r="103" spans="1:34" ht="15" customHeight="1" x14ac:dyDescent="0.2">
      <c r="A103" s="64">
        <f t="shared" si="25"/>
        <v>4</v>
      </c>
      <c r="B103" s="187">
        <f t="shared" si="38"/>
        <v>42652</v>
      </c>
      <c r="C103" s="74"/>
      <c r="D103" s="225">
        <v>0</v>
      </c>
      <c r="E103" s="240">
        <f t="shared" ca="1" si="36"/>
        <v>0</v>
      </c>
      <c r="F103" s="219">
        <f t="shared" ca="1" si="21"/>
        <v>0</v>
      </c>
      <c r="G103" s="220">
        <f t="shared" ca="1" si="30"/>
        <v>0</v>
      </c>
      <c r="H103" s="221">
        <f t="shared" si="37"/>
        <v>0</v>
      </c>
      <c r="I103" s="241">
        <f>SUM($D$16:D98)+$I$17+$H$17</f>
        <v>590</v>
      </c>
      <c r="J103" s="232">
        <v>12</v>
      </c>
      <c r="K103" s="86">
        <v>7</v>
      </c>
      <c r="L103" s="81">
        <f t="shared" ca="1" si="31"/>
        <v>0</v>
      </c>
      <c r="M103" s="85">
        <v>10</v>
      </c>
      <c r="N103" s="86">
        <v>0</v>
      </c>
      <c r="O103" s="81">
        <f t="shared" ca="1" si="26"/>
        <v>0</v>
      </c>
      <c r="P103" s="87">
        <v>15</v>
      </c>
      <c r="Q103" s="86">
        <v>3</v>
      </c>
      <c r="R103" s="81">
        <f t="shared" si="32"/>
        <v>0</v>
      </c>
      <c r="S103" s="85">
        <v>19</v>
      </c>
      <c r="T103" s="86">
        <v>3</v>
      </c>
      <c r="U103" s="81">
        <f t="shared" si="33"/>
        <v>1770</v>
      </c>
      <c r="V103" s="82">
        <v>65</v>
      </c>
      <c r="W103" s="84"/>
      <c r="X103" s="188">
        <f>IF(B103&gt;'Spring Feed Budget'!$Q$5,'Spring Feed Budget'!$Q$6,X102-$X$16)</f>
        <v>2000</v>
      </c>
      <c r="Y103" s="189">
        <f t="shared" si="27"/>
        <v>305.16553074201323</v>
      </c>
      <c r="Z103" s="190">
        <f>IF(B103&gt;'Spring Feed Budget'!$Q$5,'Spring Feed Budget'!$Q$7,Z102-$Z$16)</f>
        <v>21</v>
      </c>
      <c r="AA103" s="83"/>
      <c r="AB103" s="182">
        <f ca="1">(M103*G103+P101*H103+S103*I103+J103*F103)/1000</f>
        <v>11.21</v>
      </c>
      <c r="AC103" s="183">
        <f t="shared" si="28"/>
        <v>9.75</v>
      </c>
      <c r="AD103" s="184">
        <f t="shared" ca="1" si="29"/>
        <v>1.77</v>
      </c>
      <c r="AE103" s="185">
        <f t="shared" ca="1" si="34"/>
        <v>1244.5466666666659</v>
      </c>
      <c r="AF103" s="184">
        <f t="shared" ca="1" si="35"/>
        <v>-755.45333333333406</v>
      </c>
      <c r="AG103" s="186"/>
      <c r="AH103" s="96"/>
    </row>
    <row r="104" spans="1:34" ht="15" customHeight="1" x14ac:dyDescent="0.2">
      <c r="A104" s="64">
        <f t="shared" si="25"/>
        <v>4</v>
      </c>
      <c r="B104" s="187">
        <f t="shared" si="38"/>
        <v>42653</v>
      </c>
      <c r="C104" s="74"/>
      <c r="D104" s="225">
        <v>0</v>
      </c>
      <c r="E104" s="240">
        <f t="shared" ca="1" si="36"/>
        <v>0</v>
      </c>
      <c r="F104" s="219">
        <f t="shared" ca="1" si="21"/>
        <v>0</v>
      </c>
      <c r="G104" s="220">
        <f t="shared" ca="1" si="30"/>
        <v>0</v>
      </c>
      <c r="H104" s="221">
        <f t="shared" si="37"/>
        <v>0</v>
      </c>
      <c r="I104" s="241">
        <f>SUM($D$16:D99)+$I$17+$H$17</f>
        <v>590</v>
      </c>
      <c r="J104" s="232">
        <v>12</v>
      </c>
      <c r="K104" s="86">
        <v>7</v>
      </c>
      <c r="L104" s="81">
        <f t="shared" ca="1" si="31"/>
        <v>0</v>
      </c>
      <c r="M104" s="85">
        <v>10</v>
      </c>
      <c r="N104" s="86">
        <v>0</v>
      </c>
      <c r="O104" s="81">
        <f t="shared" ca="1" si="26"/>
        <v>0</v>
      </c>
      <c r="P104" s="87">
        <v>15</v>
      </c>
      <c r="Q104" s="86">
        <v>3</v>
      </c>
      <c r="R104" s="81">
        <f t="shared" si="32"/>
        <v>0</v>
      </c>
      <c r="S104" s="85">
        <v>19</v>
      </c>
      <c r="T104" s="86">
        <v>3</v>
      </c>
      <c r="U104" s="81">
        <f t="shared" si="33"/>
        <v>1770</v>
      </c>
      <c r="V104" s="82">
        <v>65</v>
      </c>
      <c r="W104" s="84"/>
      <c r="X104" s="188">
        <f>IF(B104&gt;'Spring Feed Budget'!$Q$5,'Spring Feed Budget'!$Q$6,X103-$X$16)</f>
        <v>2000</v>
      </c>
      <c r="Y104" s="189">
        <f t="shared" si="27"/>
        <v>312.3083878848704</v>
      </c>
      <c r="Z104" s="190">
        <f>IF(B104&gt;'Spring Feed Budget'!$Q$5,'Spring Feed Budget'!$Q$7,Z103-$Z$16)</f>
        <v>21</v>
      </c>
      <c r="AA104" s="83"/>
      <c r="AB104" s="182">
        <f ca="1">(M104*G104+P101*H104+S104*I104+J104*F104)/1000</f>
        <v>11.21</v>
      </c>
      <c r="AC104" s="183">
        <f t="shared" si="28"/>
        <v>9.75</v>
      </c>
      <c r="AD104" s="184">
        <f t="shared" ca="1" si="29"/>
        <v>1.77</v>
      </c>
      <c r="AE104" s="185">
        <f t="shared" ca="1" si="34"/>
        <v>1246.6133333333325</v>
      </c>
      <c r="AF104" s="184">
        <f t="shared" ca="1" si="35"/>
        <v>-753.38666666666745</v>
      </c>
      <c r="AG104" s="186"/>
      <c r="AH104" s="96"/>
    </row>
    <row r="105" spans="1:34" ht="15" customHeight="1" x14ac:dyDescent="0.2">
      <c r="A105" s="64">
        <f t="shared" si="25"/>
        <v>4</v>
      </c>
      <c r="B105" s="187">
        <f t="shared" si="38"/>
        <v>42654</v>
      </c>
      <c r="C105" s="74"/>
      <c r="D105" s="225">
        <v>0</v>
      </c>
      <c r="E105" s="240">
        <f t="shared" ca="1" si="36"/>
        <v>0</v>
      </c>
      <c r="F105" s="219">
        <f t="shared" ca="1" si="21"/>
        <v>0</v>
      </c>
      <c r="G105" s="220">
        <f t="shared" ca="1" si="30"/>
        <v>0</v>
      </c>
      <c r="H105" s="221">
        <f t="shared" si="37"/>
        <v>0</v>
      </c>
      <c r="I105" s="241">
        <f>SUM($D$16:D100)+$I$17+$H$17</f>
        <v>590</v>
      </c>
      <c r="J105" s="232">
        <v>12</v>
      </c>
      <c r="K105" s="86">
        <v>7</v>
      </c>
      <c r="L105" s="81">
        <f t="shared" ca="1" si="31"/>
        <v>0</v>
      </c>
      <c r="M105" s="85">
        <v>10</v>
      </c>
      <c r="N105" s="86">
        <v>0</v>
      </c>
      <c r="O105" s="81">
        <f t="shared" ca="1" si="26"/>
        <v>0</v>
      </c>
      <c r="P105" s="87">
        <v>15</v>
      </c>
      <c r="Q105" s="86">
        <v>3</v>
      </c>
      <c r="R105" s="81">
        <f t="shared" si="32"/>
        <v>0</v>
      </c>
      <c r="S105" s="85">
        <v>19</v>
      </c>
      <c r="T105" s="86">
        <v>3</v>
      </c>
      <c r="U105" s="81">
        <f t="shared" si="33"/>
        <v>1770</v>
      </c>
      <c r="V105" s="82">
        <v>65</v>
      </c>
      <c r="W105" s="84"/>
      <c r="X105" s="188">
        <f>IF(B105&gt;'Spring Feed Budget'!$Q$5,'Spring Feed Budget'!$Q$6,X104-$X$16)</f>
        <v>2000</v>
      </c>
      <c r="Y105" s="189">
        <f t="shared" si="27"/>
        <v>319.45124502772757</v>
      </c>
      <c r="Z105" s="190">
        <f>IF(B105&gt;'Spring Feed Budget'!$Q$5,'Spring Feed Budget'!$Q$7,Z104-$Z$16)</f>
        <v>21</v>
      </c>
      <c r="AA105" s="83"/>
      <c r="AB105" s="182">
        <f ca="1">(M105*G105+P101*H105+S105*I105+J105*F105)/1000</f>
        <v>11.21</v>
      </c>
      <c r="AC105" s="183">
        <f t="shared" si="28"/>
        <v>9.75</v>
      </c>
      <c r="AD105" s="184">
        <f t="shared" ca="1" si="29"/>
        <v>1.77</v>
      </c>
      <c r="AE105" s="185">
        <f t="shared" ca="1" si="34"/>
        <v>1248.6799999999992</v>
      </c>
      <c r="AF105" s="184">
        <f t="shared" ca="1" si="35"/>
        <v>-751.32000000000085</v>
      </c>
      <c r="AG105" s="186"/>
      <c r="AH105" s="96"/>
    </row>
    <row r="106" spans="1:34" ht="15" customHeight="1" x14ac:dyDescent="0.2">
      <c r="A106" s="64">
        <f t="shared" si="25"/>
        <v>4</v>
      </c>
      <c r="B106" s="187">
        <f t="shared" si="38"/>
        <v>42655</v>
      </c>
      <c r="C106" s="74"/>
      <c r="D106" s="225">
        <v>0</v>
      </c>
      <c r="E106" s="240">
        <f t="shared" ca="1" si="36"/>
        <v>0</v>
      </c>
      <c r="F106" s="219">
        <f t="shared" ca="1" si="21"/>
        <v>0</v>
      </c>
      <c r="G106" s="220">
        <f t="shared" ca="1" si="30"/>
        <v>0</v>
      </c>
      <c r="H106" s="221">
        <f t="shared" si="37"/>
        <v>0</v>
      </c>
      <c r="I106" s="241">
        <f>SUM($D$16:D101)+$I$17+$H$17</f>
        <v>590</v>
      </c>
      <c r="J106" s="232">
        <v>12</v>
      </c>
      <c r="K106" s="86">
        <v>7</v>
      </c>
      <c r="L106" s="81">
        <f t="shared" ca="1" si="31"/>
        <v>0</v>
      </c>
      <c r="M106" s="85">
        <v>10</v>
      </c>
      <c r="N106" s="86">
        <v>0</v>
      </c>
      <c r="O106" s="81">
        <f t="shared" ca="1" si="26"/>
        <v>0</v>
      </c>
      <c r="P106" s="87">
        <v>15</v>
      </c>
      <c r="Q106" s="86">
        <v>3</v>
      </c>
      <c r="R106" s="81">
        <f t="shared" si="32"/>
        <v>0</v>
      </c>
      <c r="S106" s="85">
        <v>19</v>
      </c>
      <c r="T106" s="86">
        <v>3</v>
      </c>
      <c r="U106" s="81">
        <f t="shared" si="33"/>
        <v>1770</v>
      </c>
      <c r="V106" s="82">
        <v>65</v>
      </c>
      <c r="W106" s="84"/>
      <c r="X106" s="188">
        <f>IF(B106&gt;'Spring Feed Budget'!$Q$5,'Spring Feed Budget'!$Q$6,X105-$X$16)</f>
        <v>2000</v>
      </c>
      <c r="Y106" s="189">
        <f t="shared" si="27"/>
        <v>326.59410217058473</v>
      </c>
      <c r="Z106" s="190">
        <f>IF(B106&gt;'Spring Feed Budget'!$Q$5,'Spring Feed Budget'!$Q$7,Z105-$Z$16)</f>
        <v>21</v>
      </c>
      <c r="AA106" s="83"/>
      <c r="AB106" s="182">
        <f ca="1">(M106*G106+P101*H106+S106*I106+J106*F106)/1000</f>
        <v>11.21</v>
      </c>
      <c r="AC106" s="183">
        <f t="shared" si="28"/>
        <v>9.75</v>
      </c>
      <c r="AD106" s="184">
        <f t="shared" ca="1" si="29"/>
        <v>1.77</v>
      </c>
      <c r="AE106" s="185">
        <f t="shared" ca="1" si="34"/>
        <v>1250.7466666666658</v>
      </c>
      <c r="AF106" s="184">
        <f t="shared" ca="1" si="35"/>
        <v>-749.25333333333424</v>
      </c>
      <c r="AG106" s="186"/>
      <c r="AH106" s="96"/>
    </row>
    <row r="107" spans="1:34" ht="15" customHeight="1" x14ac:dyDescent="0.2">
      <c r="A107" s="64">
        <f t="shared" si="25"/>
        <v>4</v>
      </c>
      <c r="B107" s="187">
        <f t="shared" si="38"/>
        <v>42656</v>
      </c>
      <c r="C107" s="74"/>
      <c r="D107" s="225">
        <v>0</v>
      </c>
      <c r="E107" s="240">
        <f t="shared" ca="1" si="36"/>
        <v>0</v>
      </c>
      <c r="F107" s="219">
        <f t="shared" ca="1" si="21"/>
        <v>0</v>
      </c>
      <c r="G107" s="220">
        <f t="shared" ca="1" si="30"/>
        <v>0</v>
      </c>
      <c r="H107" s="221">
        <f t="shared" si="37"/>
        <v>0</v>
      </c>
      <c r="I107" s="241">
        <f>SUM($D$16:D102)+$I$17+$H$17</f>
        <v>590</v>
      </c>
      <c r="J107" s="232">
        <v>12</v>
      </c>
      <c r="K107" s="86">
        <v>7</v>
      </c>
      <c r="L107" s="81">
        <f t="shared" ca="1" si="31"/>
        <v>0</v>
      </c>
      <c r="M107" s="85">
        <v>10</v>
      </c>
      <c r="N107" s="86">
        <v>0</v>
      </c>
      <c r="O107" s="81">
        <f t="shared" ca="1" si="26"/>
        <v>0</v>
      </c>
      <c r="P107" s="87">
        <v>15</v>
      </c>
      <c r="Q107" s="86">
        <v>3</v>
      </c>
      <c r="R107" s="81">
        <f t="shared" si="32"/>
        <v>0</v>
      </c>
      <c r="S107" s="85">
        <v>19</v>
      </c>
      <c r="T107" s="86">
        <v>3</v>
      </c>
      <c r="U107" s="81">
        <f t="shared" si="33"/>
        <v>1770</v>
      </c>
      <c r="V107" s="82">
        <v>70</v>
      </c>
      <c r="W107" s="84"/>
      <c r="X107" s="188">
        <f>IF(B107&gt;'Spring Feed Budget'!$Q$5,'Spring Feed Budget'!$Q$6,X106-$X$16)</f>
        <v>2000</v>
      </c>
      <c r="Y107" s="189">
        <f t="shared" si="27"/>
        <v>333.7369593134419</v>
      </c>
      <c r="Z107" s="190">
        <f>IF(B107&gt;'Spring Feed Budget'!$Q$5,'Spring Feed Budget'!$Q$7,Z106-$Z$16)</f>
        <v>21</v>
      </c>
      <c r="AA107" s="83"/>
      <c r="AB107" s="182">
        <f ca="1">(M107*G107+P101*H107+S107*I107+J107*F107)/1000</f>
        <v>11.21</v>
      </c>
      <c r="AC107" s="183">
        <f t="shared" si="28"/>
        <v>10.5</v>
      </c>
      <c r="AD107" s="184">
        <f t="shared" ca="1" si="29"/>
        <v>1.77</v>
      </c>
      <c r="AE107" s="185">
        <f t="shared" ca="1" si="34"/>
        <v>1252.8133333333324</v>
      </c>
      <c r="AF107" s="184">
        <f t="shared" ca="1" si="35"/>
        <v>-747.18666666666763</v>
      </c>
      <c r="AG107" s="186"/>
      <c r="AH107" s="96"/>
    </row>
    <row r="108" spans="1:34" ht="15" customHeight="1" x14ac:dyDescent="0.2">
      <c r="A108" s="64">
        <f t="shared" si="25"/>
        <v>4</v>
      </c>
      <c r="B108" s="187">
        <f t="shared" si="38"/>
        <v>42657</v>
      </c>
      <c r="C108" s="75"/>
      <c r="D108" s="226"/>
      <c r="E108" s="240">
        <f t="shared" ca="1" si="36"/>
        <v>0</v>
      </c>
      <c r="F108" s="219">
        <f t="shared" ca="1" si="21"/>
        <v>0</v>
      </c>
      <c r="G108" s="220">
        <f t="shared" ca="1" si="30"/>
        <v>0</v>
      </c>
      <c r="H108" s="221">
        <f t="shared" si="37"/>
        <v>0</v>
      </c>
      <c r="I108" s="241">
        <f>SUM($D$16:D103)+$I$17+$H$17</f>
        <v>590</v>
      </c>
      <c r="J108" s="232">
        <v>12</v>
      </c>
      <c r="K108" s="86">
        <v>7</v>
      </c>
      <c r="L108" s="81">
        <f t="shared" ca="1" si="31"/>
        <v>0</v>
      </c>
      <c r="M108" s="85">
        <v>10</v>
      </c>
      <c r="N108" s="86">
        <v>0</v>
      </c>
      <c r="O108" s="81">
        <f t="shared" ca="1" si="26"/>
        <v>0</v>
      </c>
      <c r="P108" s="87">
        <v>15</v>
      </c>
      <c r="Q108" s="86">
        <v>3</v>
      </c>
      <c r="R108" s="81">
        <f t="shared" si="32"/>
        <v>0</v>
      </c>
      <c r="S108" s="85">
        <v>19</v>
      </c>
      <c r="T108" s="86">
        <v>3</v>
      </c>
      <c r="U108" s="81">
        <f t="shared" si="33"/>
        <v>1770</v>
      </c>
      <c r="V108" s="82">
        <v>70</v>
      </c>
      <c r="W108" s="84"/>
      <c r="X108" s="188">
        <f>IF(B108&gt;'Spring Feed Budget'!$Q$5,'Spring Feed Budget'!$Q$6,X107-$X$16)</f>
        <v>2000</v>
      </c>
      <c r="Y108" s="189">
        <f t="shared" si="27"/>
        <v>340.87981645629907</v>
      </c>
      <c r="Z108" s="190">
        <f>IF(B108&gt;'Spring Feed Budget'!$Q$5,'Spring Feed Budget'!$Q$7,Z107-$Z$16)</f>
        <v>21</v>
      </c>
      <c r="AA108" s="83"/>
      <c r="AB108" s="182">
        <f ca="1">(M108*G108+P101*H108+S108*I108+J108*F108)/1000</f>
        <v>11.21</v>
      </c>
      <c r="AC108" s="183">
        <f t="shared" si="28"/>
        <v>10.5</v>
      </c>
      <c r="AD108" s="184">
        <f t="shared" ca="1" si="29"/>
        <v>1.77</v>
      </c>
      <c r="AE108" s="185">
        <f t="shared" ca="1" si="34"/>
        <v>1259.879999999999</v>
      </c>
      <c r="AF108" s="184">
        <f t="shared" ca="1" si="35"/>
        <v>-740.12000000000103</v>
      </c>
      <c r="AG108" s="186"/>
      <c r="AH108" s="96"/>
    </row>
    <row r="109" spans="1:34" ht="15.75" customHeight="1" thickBot="1" x14ac:dyDescent="0.25">
      <c r="A109" s="64">
        <f t="shared" si="25"/>
        <v>4</v>
      </c>
      <c r="B109" s="191">
        <f>B108+1</f>
        <v>42658</v>
      </c>
      <c r="C109" s="211"/>
      <c r="D109" s="227"/>
      <c r="E109" s="242">
        <f t="shared" ca="1" si="36"/>
        <v>0</v>
      </c>
      <c r="F109" s="219">
        <f t="shared" ca="1" si="21"/>
        <v>0</v>
      </c>
      <c r="G109" s="243">
        <f t="shared" ca="1" si="30"/>
        <v>0</v>
      </c>
      <c r="H109" s="244">
        <f>SUM(D105:D108)</f>
        <v>0</v>
      </c>
      <c r="I109" s="245">
        <f>SUM($D$16:D104)+$I$17+$H$17</f>
        <v>590</v>
      </c>
      <c r="J109" s="233">
        <v>12</v>
      </c>
      <c r="K109" s="89">
        <v>7</v>
      </c>
      <c r="L109" s="90">
        <f t="shared" ca="1" si="31"/>
        <v>0</v>
      </c>
      <c r="M109" s="88">
        <v>10</v>
      </c>
      <c r="N109" s="89">
        <v>0</v>
      </c>
      <c r="O109" s="90">
        <f t="shared" ca="1" si="26"/>
        <v>0</v>
      </c>
      <c r="P109" s="88">
        <v>15</v>
      </c>
      <c r="Q109" s="89">
        <v>3</v>
      </c>
      <c r="R109" s="90">
        <f t="shared" si="32"/>
        <v>0</v>
      </c>
      <c r="S109" s="88">
        <v>19</v>
      </c>
      <c r="T109" s="89">
        <v>3</v>
      </c>
      <c r="U109" s="90">
        <f t="shared" si="33"/>
        <v>1770</v>
      </c>
      <c r="V109" s="246">
        <v>70</v>
      </c>
      <c r="W109" s="92"/>
      <c r="X109" s="192">
        <f>IF(B109&gt;'Spring Feed Budget'!$Q$5,'Spring Feed Budget'!$Q$6,X108-$X$16)</f>
        <v>2000</v>
      </c>
      <c r="Y109" s="193">
        <f t="shared" si="27"/>
        <v>348.02267359915624</v>
      </c>
      <c r="Z109" s="194">
        <f>IF(B109&gt;'Spring Feed Budget'!$Q$5,'Spring Feed Budget'!$Q$7,Z108-$Z$16)</f>
        <v>21</v>
      </c>
      <c r="AA109" s="91"/>
      <c r="AB109" s="195">
        <f ca="1">(M109*G109+P101*H109+S109*I109+J109*F109)/1000</f>
        <v>11.21</v>
      </c>
      <c r="AC109" s="196">
        <f t="shared" si="28"/>
        <v>310.5</v>
      </c>
      <c r="AD109" s="197">
        <f t="shared" ca="1" si="29"/>
        <v>1.77</v>
      </c>
      <c r="AE109" s="193">
        <f t="shared" ca="1" si="34"/>
        <v>1266.9466666666656</v>
      </c>
      <c r="AF109" s="197">
        <f t="shared" ca="1" si="35"/>
        <v>-733.05333333333442</v>
      </c>
      <c r="AG109" s="186"/>
      <c r="AH109" s="96"/>
    </row>
    <row r="110" spans="1:34" s="45" customFormat="1" ht="3.75" customHeight="1" thickTop="1" x14ac:dyDescent="0.2">
      <c r="A110" s="65"/>
      <c r="B110" s="198"/>
      <c r="C110" s="198"/>
      <c r="D110" s="198"/>
      <c r="E110" s="198"/>
      <c r="F110" s="198"/>
      <c r="G110" s="199"/>
      <c r="H110" s="198"/>
      <c r="I110" s="199"/>
      <c r="J110" s="199"/>
      <c r="K110" s="199"/>
      <c r="L110" s="199"/>
      <c r="M110" s="199"/>
      <c r="N110" s="200"/>
      <c r="O110" s="200"/>
      <c r="P110" s="199"/>
      <c r="Q110" s="200"/>
      <c r="R110" s="200"/>
      <c r="S110" s="199"/>
      <c r="T110" s="200"/>
      <c r="U110" s="200"/>
      <c r="V110" s="201"/>
      <c r="W110" s="201"/>
      <c r="X110" s="202"/>
      <c r="Y110" s="203"/>
      <c r="Z110" s="201"/>
      <c r="AA110" s="201"/>
      <c r="AB110" s="201"/>
      <c r="AC110" s="201"/>
      <c r="AD110" s="201"/>
      <c r="AE110" s="204"/>
      <c r="AF110" s="201"/>
      <c r="AG110" s="186"/>
      <c r="AH110" s="205"/>
    </row>
    <row r="111" spans="1:34" x14ac:dyDescent="0.2">
      <c r="B111" s="206"/>
      <c r="C111" s="207"/>
      <c r="D111" s="207"/>
      <c r="E111" s="207"/>
      <c r="F111" s="207"/>
      <c r="G111" s="207"/>
      <c r="H111" s="207"/>
      <c r="I111" s="206"/>
      <c r="J111" s="206"/>
      <c r="K111" s="206"/>
      <c r="L111" s="206">
        <f ca="1">SUMIF($B$17:$B$109,"&lt;"&amp;$Q$5,L17:L109)</f>
        <v>29505</v>
      </c>
      <c r="M111" s="206"/>
      <c r="N111" s="208"/>
      <c r="O111" s="206">
        <f ca="1">SUMIF($B$17:$B$109,"&lt;"&amp;$Q$5,O17:O109)</f>
        <v>0</v>
      </c>
      <c r="P111" s="206"/>
      <c r="Q111" s="208"/>
      <c r="R111" s="206">
        <f>SUMIF($B$17:$B$109,"&lt;"&amp;$Q$5,R17:R109)</f>
        <v>6468</v>
      </c>
      <c r="S111" s="206"/>
      <c r="T111" s="208"/>
      <c r="U111" s="206">
        <f>SUMIF($B$17:$B$109,"&lt;"&amp;$Q$5,U17:U109)</f>
        <v>89352</v>
      </c>
      <c r="V111" s="206"/>
      <c r="W111" s="206"/>
      <c r="X111" s="206"/>
      <c r="Y111" s="206"/>
      <c r="Z111" s="206"/>
      <c r="AA111" s="206"/>
      <c r="AB111" s="206"/>
      <c r="AC111" s="206"/>
      <c r="AD111" s="209"/>
      <c r="AE111" s="210"/>
      <c r="AF111" s="206"/>
      <c r="AG111" s="362"/>
      <c r="AH111" s="96"/>
    </row>
    <row r="112" spans="1:34" ht="32.25" customHeight="1" x14ac:dyDescent="0.25">
      <c r="B112" s="386" t="s">
        <v>149</v>
      </c>
      <c r="C112" s="387"/>
      <c r="D112" s="387"/>
      <c r="E112" s="387"/>
      <c r="F112" s="387"/>
      <c r="G112" s="387"/>
      <c r="H112" s="387"/>
      <c r="I112" s="387"/>
      <c r="J112" s="387"/>
      <c r="K112" s="387"/>
      <c r="L112" s="387"/>
      <c r="M112" s="387"/>
      <c r="N112" s="387"/>
      <c r="O112" s="387"/>
      <c r="P112" s="387"/>
      <c r="Q112" s="387"/>
      <c r="R112" s="331"/>
      <c r="S112" s="331"/>
      <c r="T112" s="331"/>
      <c r="U112" s="332"/>
      <c r="V112" s="331"/>
      <c r="W112" s="331"/>
      <c r="X112" s="331"/>
      <c r="Y112" s="331"/>
      <c r="Z112" s="332"/>
      <c r="AA112" s="331"/>
      <c r="AB112" s="331"/>
      <c r="AC112" s="331"/>
      <c r="AD112" s="331"/>
      <c r="AE112" s="330"/>
      <c r="AF112" s="329"/>
      <c r="AG112" s="362"/>
      <c r="AH112" s="96"/>
    </row>
    <row r="113" spans="2:34" ht="15" x14ac:dyDescent="0.25">
      <c r="B113" s="387"/>
      <c r="C113" s="387"/>
      <c r="D113" s="387"/>
      <c r="E113" s="387"/>
      <c r="F113" s="387"/>
      <c r="G113" s="387"/>
      <c r="H113" s="387"/>
      <c r="I113" s="387"/>
      <c r="J113" s="387"/>
      <c r="K113" s="387"/>
      <c r="L113" s="387"/>
      <c r="M113" s="387"/>
      <c r="N113" s="387"/>
      <c r="O113" s="387"/>
      <c r="P113" s="387"/>
      <c r="Q113" s="387"/>
      <c r="R113" s="331"/>
      <c r="S113" s="331"/>
      <c r="T113" s="331"/>
      <c r="U113" s="331"/>
      <c r="V113" s="331"/>
      <c r="W113" s="331"/>
      <c r="X113" s="331"/>
      <c r="Y113" s="331"/>
      <c r="Z113" s="331"/>
      <c r="AA113" s="331"/>
      <c r="AB113" s="331"/>
      <c r="AC113" s="331"/>
      <c r="AD113" s="331"/>
      <c r="AE113" s="329"/>
      <c r="AF113" s="329"/>
      <c r="AG113" s="96"/>
      <c r="AH113" s="96"/>
    </row>
    <row r="114" spans="2:34" ht="15" x14ac:dyDescent="0.25">
      <c r="B114" s="387"/>
      <c r="C114" s="387"/>
      <c r="D114" s="387"/>
      <c r="E114" s="387"/>
      <c r="F114" s="387"/>
      <c r="G114" s="387"/>
      <c r="H114" s="387"/>
      <c r="I114" s="387"/>
      <c r="J114" s="387"/>
      <c r="K114" s="387"/>
      <c r="L114" s="387"/>
      <c r="M114" s="387"/>
      <c r="N114" s="387"/>
      <c r="O114" s="387"/>
      <c r="P114" s="387"/>
      <c r="Q114" s="387"/>
      <c r="R114" s="331"/>
      <c r="S114" s="331"/>
      <c r="T114" s="331"/>
      <c r="U114" s="331"/>
      <c r="V114" s="331"/>
      <c r="W114" s="331"/>
      <c r="X114" s="331"/>
      <c r="Y114" s="331"/>
      <c r="Z114" s="331"/>
      <c r="AA114" s="331"/>
      <c r="AB114" s="331"/>
      <c r="AC114" s="331"/>
      <c r="AD114" s="331"/>
      <c r="AE114" s="329"/>
      <c r="AF114" s="329"/>
    </row>
    <row r="115" spans="2:34" ht="15" x14ac:dyDescent="0.25">
      <c r="B115" s="387"/>
      <c r="C115" s="387"/>
      <c r="D115" s="387"/>
      <c r="E115" s="387"/>
      <c r="F115" s="387"/>
      <c r="G115" s="387"/>
      <c r="H115" s="387"/>
      <c r="I115" s="387"/>
      <c r="J115" s="387"/>
      <c r="K115" s="387"/>
      <c r="L115" s="387"/>
      <c r="M115" s="387"/>
      <c r="N115" s="387"/>
      <c r="O115" s="387"/>
      <c r="P115" s="387"/>
      <c r="Q115" s="387"/>
      <c r="R115" s="331"/>
      <c r="S115" s="331"/>
      <c r="T115" s="331"/>
      <c r="U115" s="331"/>
      <c r="V115" s="331"/>
      <c r="W115" s="331"/>
      <c r="X115" s="331"/>
      <c r="Y115" s="331"/>
      <c r="Z115" s="331"/>
      <c r="AA115" s="331"/>
      <c r="AB115" s="331"/>
      <c r="AC115" s="331"/>
      <c r="AD115" s="331"/>
      <c r="AE115" s="329"/>
      <c r="AF115" s="329"/>
    </row>
    <row r="116" spans="2:34" ht="15" x14ac:dyDescent="0.25">
      <c r="B116" s="215"/>
      <c r="C116" s="216"/>
      <c r="D116" s="217"/>
      <c r="E116" s="214"/>
      <c r="F116" s="214"/>
    </row>
    <row r="117" spans="2:34" x14ac:dyDescent="0.2">
      <c r="B117" s="213"/>
      <c r="C117" s="214"/>
      <c r="D117" s="214"/>
      <c r="E117" s="214"/>
      <c r="F117" s="214"/>
    </row>
  </sheetData>
  <sheetProtection password="EB50" sheet="1"/>
  <mergeCells count="35">
    <mergeCell ref="B112:Q115"/>
    <mergeCell ref="B13:B14"/>
    <mergeCell ref="G13:G14"/>
    <mergeCell ref="H13:H14"/>
    <mergeCell ref="I13:I14"/>
    <mergeCell ref="M13:N13"/>
    <mergeCell ref="E13:E14"/>
    <mergeCell ref="J13:K13"/>
    <mergeCell ref="P13:Q13"/>
    <mergeCell ref="S13:T13"/>
    <mergeCell ref="AA12:AA14"/>
    <mergeCell ref="C12:D12"/>
    <mergeCell ref="C13:C14"/>
    <mergeCell ref="D13:D14"/>
    <mergeCell ref="J12:T12"/>
    <mergeCell ref="F13:F14"/>
    <mergeCell ref="X12:Z12"/>
    <mergeCell ref="E12:I12"/>
    <mergeCell ref="AG111:AG112"/>
    <mergeCell ref="AC13:AC14"/>
    <mergeCell ref="AD13:AD14"/>
    <mergeCell ref="AF13:AF14"/>
    <mergeCell ref="X13:X14"/>
    <mergeCell ref="Z13:Z14"/>
    <mergeCell ref="AB13:AB14"/>
    <mergeCell ref="B10:D10"/>
    <mergeCell ref="S5:S8"/>
    <mergeCell ref="W7:X7"/>
    <mergeCell ref="AA7:AB7"/>
    <mergeCell ref="AB12:AD12"/>
    <mergeCell ref="AE13:AE14"/>
    <mergeCell ref="V5:AB5"/>
    <mergeCell ref="V12:V14"/>
    <mergeCell ref="W12:W14"/>
    <mergeCell ref="Y13:Y14"/>
  </mergeCells>
  <conditionalFormatting sqref="Q5">
    <cfRule type="expression" dxfId="0" priority="1" stopIfTrue="1">
      <formula>$M$5&gt;$Q$5</formula>
    </cfRule>
  </conditionalFormatting>
  <hyperlinks>
    <hyperlink ref="AD5" location="Help!A1" display="HELP"/>
  </hyperlinks>
  <pageMargins left="0.23622047244094491" right="0.23622047244094491" top="0.74803149606299213" bottom="0.74803149606299213" header="0.31496062992125984" footer="0.31496062992125984"/>
  <pageSetup paperSize="9" scale="62" fitToHeight="2" orientation="landscape" r:id="rId1"/>
  <ignoredErrors>
    <ignoredError sqref="H91 H22:H90" formulaRange="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B1:S95"/>
  <sheetViews>
    <sheetView showGridLines="0" tabSelected="1" topLeftCell="A66" zoomScale="90" zoomScaleNormal="90" workbookViewId="0">
      <selection activeCell="J82" sqref="J82"/>
    </sheetView>
  </sheetViews>
  <sheetFormatPr defaultRowHeight="15" x14ac:dyDescent="0.25"/>
  <cols>
    <col min="1" max="1" width="1.42578125" customWidth="1"/>
    <col min="17" max="17" width="10.7109375" bestFit="1" customWidth="1"/>
    <col min="18" max="18" width="13" customWidth="1"/>
    <col min="19" max="19" width="20.140625" customWidth="1"/>
  </cols>
  <sheetData>
    <row r="1" spans="2:19" ht="9.75" customHeight="1" x14ac:dyDescent="0.25"/>
    <row r="2" spans="2:19" ht="60" customHeight="1" x14ac:dyDescent="0.25">
      <c r="B2" s="333" t="s">
        <v>46</v>
      </c>
      <c r="C2" s="35"/>
      <c r="D2" s="35"/>
      <c r="E2" s="35"/>
      <c r="F2" s="35"/>
      <c r="G2" s="35"/>
      <c r="H2" s="32"/>
      <c r="I2" s="32"/>
      <c r="J2" s="32"/>
      <c r="K2" s="32"/>
      <c r="L2" s="32"/>
      <c r="M2" s="32"/>
      <c r="N2" s="32"/>
      <c r="Q2" s="304" t="s">
        <v>20</v>
      </c>
      <c r="R2" s="304" t="s">
        <v>143</v>
      </c>
      <c r="S2" s="304" t="s">
        <v>144</v>
      </c>
    </row>
    <row r="3" spans="2:19" x14ac:dyDescent="0.25">
      <c r="Q3" s="303">
        <f>'Spring Feed Budget'!B17</f>
        <v>42566</v>
      </c>
      <c r="R3" s="301">
        <f>'Spring Feed Budget'!$D$5/'Spring Feed Budget'!Z17</f>
        <v>1.5</v>
      </c>
      <c r="S3" s="302">
        <f>'Spring Feed Budget'!Y17</f>
        <v>1.5</v>
      </c>
    </row>
    <row r="4" spans="2:19" x14ac:dyDescent="0.25">
      <c r="Q4" s="303">
        <f>'Spring Feed Budget'!B18</f>
        <v>42567</v>
      </c>
      <c r="R4" s="301">
        <f>'Spring Feed Budget'!$D$5/'Spring Feed Budget'!Z18</f>
        <v>1.5159681983560167</v>
      </c>
      <c r="S4" s="302">
        <f>'Spring Feed Budget'!Y18</f>
        <v>3.0159681983560169</v>
      </c>
    </row>
    <row r="5" spans="2:19" x14ac:dyDescent="0.25">
      <c r="Q5" s="303">
        <f>'Spring Feed Budget'!B19</f>
        <v>42568</v>
      </c>
      <c r="R5" s="301">
        <f>'Spring Feed Budget'!$D$5/'Spring Feed Budget'!Z19</f>
        <v>1.5322800326886405</v>
      </c>
      <c r="S5" s="302">
        <f>'Spring Feed Budget'!Y19</f>
        <v>4.5482482310446573</v>
      </c>
    </row>
    <row r="6" spans="2:19" x14ac:dyDescent="0.25">
      <c r="Q6" s="303">
        <f>'Spring Feed Budget'!B20</f>
        <v>42569</v>
      </c>
      <c r="R6" s="301">
        <f>'Spring Feed Budget'!$D$5/'Spring Feed Budget'!Z20</f>
        <v>1.5489467162329613</v>
      </c>
      <c r="S6" s="302">
        <f>'Spring Feed Budget'!Y20</f>
        <v>6.0971949472776181</v>
      </c>
    </row>
    <row r="7" spans="2:19" x14ac:dyDescent="0.25">
      <c r="Q7" s="303">
        <f>'Spring Feed Budget'!B21</f>
        <v>42570</v>
      </c>
      <c r="R7" s="301">
        <f>'Spring Feed Budget'!$D$5/'Spring Feed Budget'!Z21</f>
        <v>1.5659799554565699</v>
      </c>
      <c r="S7" s="302">
        <f>'Spring Feed Budget'!Y21</f>
        <v>7.6631749027341876</v>
      </c>
    </row>
    <row r="8" spans="2:19" x14ac:dyDescent="0.25">
      <c r="Q8" s="303">
        <f>'Spring Feed Budget'!B22</f>
        <v>42571</v>
      </c>
      <c r="R8" s="301">
        <f>'Spring Feed Budget'!$D$5/'Spring Feed Budget'!Z22</f>
        <v>1.5833919774806469</v>
      </c>
      <c r="S8" s="302">
        <f>'Spring Feed Budget'!Y22</f>
        <v>9.246566880214834</v>
      </c>
    </row>
    <row r="9" spans="2:19" x14ac:dyDescent="0.25">
      <c r="Q9" s="303">
        <f>'Spring Feed Budget'!B23</f>
        <v>42572</v>
      </c>
      <c r="R9" s="301">
        <f>'Spring Feed Budget'!$D$5/'Spring Feed Budget'!Z23</f>
        <v>1.6011955593509815</v>
      </c>
      <c r="S9" s="302">
        <f>'Spring Feed Budget'!Y23</f>
        <v>10.847762439565816</v>
      </c>
    </row>
    <row r="10" spans="2:19" x14ac:dyDescent="0.25">
      <c r="Q10" s="303">
        <f>'Spring Feed Budget'!B24</f>
        <v>42573</v>
      </c>
      <c r="R10" s="301">
        <f>'Spring Feed Budget'!$D$5/'Spring Feed Budget'!Z24</f>
        <v>1.6194040593061747</v>
      </c>
      <c r="S10" s="302">
        <f>'Spring Feed Budget'!Y24</f>
        <v>12.467166498871991</v>
      </c>
    </row>
    <row r="11" spans="2:19" x14ac:dyDescent="0.25">
      <c r="Q11" s="303">
        <f>'Spring Feed Budget'!B25</f>
        <v>42574</v>
      </c>
      <c r="R11" s="301">
        <f>'Spring Feed Budget'!$D$5/'Spring Feed Budget'!Z25</f>
        <v>1.6380314502038431</v>
      </c>
      <c r="S11" s="302">
        <f>'Spring Feed Budget'!Y25</f>
        <v>14.105197949075835</v>
      </c>
    </row>
    <row r="12" spans="2:19" x14ac:dyDescent="0.25">
      <c r="Q12" s="303">
        <f>'Spring Feed Budget'!B26</f>
        <v>42575</v>
      </c>
      <c r="R12" s="301">
        <f>'Spring Feed Budget'!$D$5/'Spring Feed Budget'!Z26</f>
        <v>1.6570923552806001</v>
      </c>
      <c r="S12" s="302">
        <f>'Spring Feed Budget'!Y26</f>
        <v>15.762290304356435</v>
      </c>
    </row>
    <row r="13" spans="2:19" x14ac:dyDescent="0.25">
      <c r="Q13" s="303">
        <f>'Spring Feed Budget'!B27</f>
        <v>42576</v>
      </c>
      <c r="R13" s="301">
        <f>'Spring Feed Budget'!$D$5/'Spring Feed Budget'!Z27</f>
        <v>1.676602086438151</v>
      </c>
      <c r="S13" s="302">
        <f>'Spring Feed Budget'!Y27</f>
        <v>17.438892390794585</v>
      </c>
    </row>
    <row r="14" spans="2:19" x14ac:dyDescent="0.25">
      <c r="Q14" s="303">
        <f>'Spring Feed Budget'!B28</f>
        <v>42577</v>
      </c>
      <c r="R14" s="301">
        <f>'Spring Feed Budget'!$D$5/'Spring Feed Budget'!Z28</f>
        <v>1.6965766852661728</v>
      </c>
      <c r="S14" s="302">
        <f>'Spring Feed Budget'!Y28</f>
        <v>19.135469076060758</v>
      </c>
    </row>
    <row r="15" spans="2:19" x14ac:dyDescent="0.25">
      <c r="Q15" s="303">
        <f>'Spring Feed Budget'!B29</f>
        <v>42578</v>
      </c>
      <c r="R15" s="301">
        <f>'Spring Feed Budget'!$D$5/'Spring Feed Budget'!Z29</f>
        <v>1.7170329670329656</v>
      </c>
      <c r="S15" s="302">
        <f>'Spring Feed Budget'!Y29</f>
        <v>20.852502043093725</v>
      </c>
    </row>
    <row r="16" spans="2:19" x14ac:dyDescent="0.25">
      <c r="Q16" s="303">
        <f>'Spring Feed Budget'!B30</f>
        <v>42579</v>
      </c>
      <c r="R16" s="301">
        <f>'Spring Feed Budget'!$D$5/'Spring Feed Budget'!Z30</f>
        <v>1.7379885678974185</v>
      </c>
      <c r="S16" s="302">
        <f>'Spring Feed Budget'!Y30</f>
        <v>22.590490610991143</v>
      </c>
    </row>
    <row r="17" spans="13:19" x14ac:dyDescent="0.25">
      <c r="Q17" s="303">
        <f>'Spring Feed Budget'!B31</f>
        <v>42580</v>
      </c>
      <c r="R17" s="301">
        <f>'Spring Feed Budget'!$D$5/'Spring Feed Budget'!Z31</f>
        <v>1.7594619956208928</v>
      </c>
      <c r="S17" s="302">
        <f>'Spring Feed Budget'!Y31</f>
        <v>24.349952606612035</v>
      </c>
    </row>
    <row r="18" spans="13:19" x14ac:dyDescent="0.25">
      <c r="Q18" s="303">
        <f>'Spring Feed Budget'!B32</f>
        <v>42581</v>
      </c>
      <c r="R18" s="301">
        <f>'Spring Feed Budget'!$D$5/'Spring Feed Budget'!Z32</f>
        <v>1.7814726840855089</v>
      </c>
      <c r="S18" s="302">
        <f>'Spring Feed Budget'!Y32</f>
        <v>26.131425290697543</v>
      </c>
    </row>
    <row r="19" spans="13:19" x14ac:dyDescent="0.25">
      <c r="Q19" s="303">
        <f>'Spring Feed Budget'!B33</f>
        <v>42582</v>
      </c>
      <c r="R19" s="301">
        <f>'Spring Feed Budget'!$D$5/'Spring Feed Budget'!Z33</f>
        <v>1.8040410519563803</v>
      </c>
      <c r="S19" s="302">
        <f>'Spring Feed Budget'!Y33</f>
        <v>27.935466342653925</v>
      </c>
    </row>
    <row r="20" spans="13:19" x14ac:dyDescent="0.25">
      <c r="Q20" s="303">
        <f>'Spring Feed Budget'!B34</f>
        <v>42583</v>
      </c>
      <c r="R20" s="301">
        <f>'Spring Feed Budget'!$D$5/'Spring Feed Budget'!Z34</f>
        <v>1.8271885658599945</v>
      </c>
      <c r="S20" s="302">
        <f>'Spring Feed Budget'!Y34</f>
        <v>29.76265490851392</v>
      </c>
    </row>
    <row r="21" spans="13:19" x14ac:dyDescent="0.25">
      <c r="Q21" s="303">
        <f>'Spring Feed Budget'!B35</f>
        <v>42584</v>
      </c>
      <c r="R21" s="301">
        <f>'Spring Feed Budget'!$D$5/'Spring Feed Budget'!Z35</f>
        <v>1.8509378084896324</v>
      </c>
      <c r="S21" s="302">
        <f>'Spring Feed Budget'!Y35</f>
        <v>31.613592717003552</v>
      </c>
    </row>
    <row r="22" spans="13:19" x14ac:dyDescent="0.25">
      <c r="Q22" s="303">
        <f>'Spring Feed Budget'!B36</f>
        <v>42585</v>
      </c>
      <c r="R22" s="301">
        <f>'Spring Feed Budget'!$D$5/'Spring Feed Budget'!Z36</f>
        <v>1.8753125520920126</v>
      </c>
      <c r="S22" s="302">
        <f>'Spring Feed Budget'!Y36</f>
        <v>33.488905269095568</v>
      </c>
    </row>
    <row r="23" spans="13:19" x14ac:dyDescent="0.25">
      <c r="Q23" s="303">
        <f>'Spring Feed Budget'!B37</f>
        <v>42586</v>
      </c>
      <c r="R23" s="301">
        <f>'Spring Feed Budget'!$D$5/'Spring Feed Budget'!Z37</f>
        <v>1.9003378378378351</v>
      </c>
      <c r="S23" s="302">
        <f>'Spring Feed Budget'!Y37</f>
        <v>35.389243106933407</v>
      </c>
    </row>
    <row r="24" spans="13:19" x14ac:dyDescent="0.25">
      <c r="Q24" s="303">
        <f>'Spring Feed Budget'!B38</f>
        <v>42587</v>
      </c>
      <c r="R24" s="301">
        <f>'Spring Feed Budget'!$D$5/'Spring Feed Budget'!Z38</f>
        <v>1.9260400616332789</v>
      </c>
      <c r="S24" s="302">
        <f>'Spring Feed Budget'!Y38</f>
        <v>37.315283168566687</v>
      </c>
    </row>
    <row r="25" spans="13:19" x14ac:dyDescent="0.25">
      <c r="Q25" s="303">
        <f>'Spring Feed Budget'!B39</f>
        <v>42588</v>
      </c>
      <c r="R25" s="301">
        <f>'Spring Feed Budget'!$D$5/'Spring Feed Budget'!Z39</f>
        <v>1.9524470669906249</v>
      </c>
      <c r="S25" s="302">
        <f>'Spring Feed Budget'!Y39</f>
        <v>39.267730235557309</v>
      </c>
    </row>
    <row r="26" spans="13:19" x14ac:dyDescent="0.25">
      <c r="M26" s="24"/>
      <c r="Q26" s="303">
        <f>'Spring Feed Budget'!B40</f>
        <v>42589</v>
      </c>
      <c r="R26" s="301">
        <f>'Spring Feed Budget'!$D$5/'Spring Feed Budget'!Z40</f>
        <v>1.9795882456449023</v>
      </c>
      <c r="S26" s="302">
        <f>'Spring Feed Budget'!Y40</f>
        <v>41.247318481202214</v>
      </c>
    </row>
    <row r="27" spans="13:19" x14ac:dyDescent="0.25">
      <c r="Q27" s="303">
        <f>'Spring Feed Budget'!B41</f>
        <v>42590</v>
      </c>
      <c r="R27" s="301">
        <f>'Spring Feed Budget'!$D$5/'Spring Feed Budget'!Z41</f>
        <v>2.0074946466809385</v>
      </c>
      <c r="S27" s="302">
        <f>'Spring Feed Budget'!Y41</f>
        <v>43.254813127883153</v>
      </c>
    </row>
    <row r="28" spans="13:19" x14ac:dyDescent="0.25">
      <c r="Q28" s="303">
        <f>'Spring Feed Budget'!B42</f>
        <v>42591</v>
      </c>
      <c r="R28" s="301">
        <f>'Spring Feed Budget'!$D$5/'Spring Feed Budget'!Z42</f>
        <v>2.0361990950226203</v>
      </c>
      <c r="S28" s="302">
        <f>'Spring Feed Budget'!Y42</f>
        <v>45.291012222905771</v>
      </c>
    </row>
    <row r="29" spans="13:19" x14ac:dyDescent="0.25">
      <c r="Q29" s="303">
        <f>'Spring Feed Budget'!B43</f>
        <v>42592</v>
      </c>
      <c r="R29" s="301">
        <f>'Spring Feed Budget'!$D$5/'Spring Feed Budget'!Z43</f>
        <v>2.0657363202350307</v>
      </c>
      <c r="S29" s="302">
        <f>'Spring Feed Budget'!Y43</f>
        <v>47.356748543140803</v>
      </c>
    </row>
    <row r="30" spans="13:19" x14ac:dyDescent="0.25">
      <c r="Q30" s="303">
        <f>'Spring Feed Budget'!B44</f>
        <v>42593</v>
      </c>
      <c r="R30" s="301">
        <f>'Spring Feed Budget'!$D$5/'Spring Feed Budget'!Z44</f>
        <v>2.0961430967020633</v>
      </c>
      <c r="S30" s="302">
        <f>'Spring Feed Budget'!Y44</f>
        <v>49.452891639842868</v>
      </c>
    </row>
    <row r="31" spans="13:19" x14ac:dyDescent="0.25">
      <c r="Q31" s="303">
        <f>'Spring Feed Budget'!B45</f>
        <v>42594</v>
      </c>
      <c r="R31" s="301">
        <f>'Spring Feed Budget'!$D$5/'Spring Feed Budget'!Z45</f>
        <v>2.1274583963691329</v>
      </c>
      <c r="S31" s="302">
        <f>'Spring Feed Budget'!Y45</f>
        <v>51.580350036212003</v>
      </c>
    </row>
    <row r="32" spans="13:19" x14ac:dyDescent="0.25">
      <c r="Q32" s="303">
        <f>'Spring Feed Budget'!B46</f>
        <v>42595</v>
      </c>
      <c r="R32" s="301">
        <f>'Spring Feed Budget'!$D$5/'Spring Feed Budget'!Z46</f>
        <v>2.1597235553849052</v>
      </c>
      <c r="S32" s="302">
        <f>'Spring Feed Budget'!Y46</f>
        <v>53.740073591596911</v>
      </c>
    </row>
    <row r="33" spans="17:19" x14ac:dyDescent="0.25">
      <c r="Q33" s="303">
        <f>'Spring Feed Budget'!B47</f>
        <v>42596</v>
      </c>
      <c r="R33" s="301">
        <f>'Spring Feed Budget'!$D$5/'Spring Feed Budget'!Z47</f>
        <v>2.1929824561403453</v>
      </c>
      <c r="S33" s="302">
        <f>'Spring Feed Budget'!Y47</f>
        <v>55.933056047737253</v>
      </c>
    </row>
    <row r="34" spans="17:19" x14ac:dyDescent="0.25">
      <c r="Q34" s="303">
        <f>'Spring Feed Budget'!B48</f>
        <v>42597</v>
      </c>
      <c r="R34" s="301">
        <f>'Spring Feed Budget'!$D$5/'Spring Feed Budget'!Z48</f>
        <v>2.2272817263908076</v>
      </c>
      <c r="S34" s="302">
        <f>'Spring Feed Budget'!Y48</f>
        <v>58.16033777412806</v>
      </c>
    </row>
    <row r="35" spans="17:19" x14ac:dyDescent="0.25">
      <c r="Q35" s="303">
        <f>'Spring Feed Budget'!B49</f>
        <v>42598</v>
      </c>
      <c r="R35" s="301">
        <f>'Spring Feed Budget'!$D$5/'Spring Feed Budget'!Z49</f>
        <v>2.2626709573612165</v>
      </c>
      <c r="S35" s="302">
        <f>'Spring Feed Budget'!Y49</f>
        <v>60.423008731489276</v>
      </c>
    </row>
    <row r="36" spans="17:19" x14ac:dyDescent="0.25">
      <c r="Q36" s="303">
        <f>'Spring Feed Budget'!B50</f>
        <v>42599</v>
      </c>
      <c r="R36" s="301">
        <f>'Spring Feed Budget'!$D$5/'Spring Feed Budget'!Z50</f>
        <v>2.2992029429797602</v>
      </c>
      <c r="S36" s="302">
        <f>'Spring Feed Budget'!Y50</f>
        <v>62.722211674469037</v>
      </c>
    </row>
    <row r="37" spans="17:19" x14ac:dyDescent="0.25">
      <c r="Q37" s="303">
        <f>'Spring Feed Budget'!B51</f>
        <v>42600</v>
      </c>
      <c r="R37" s="301">
        <f>'Spring Feed Budget'!$D$5/'Spring Feed Budget'!Z51</f>
        <v>2.3369339426672133</v>
      </c>
      <c r="S37" s="302">
        <f>'Spring Feed Budget'!Y51</f>
        <v>65.059145617136252</v>
      </c>
    </row>
    <row r="38" spans="17:19" x14ac:dyDescent="0.25">
      <c r="Q38" s="303">
        <f>'Spring Feed Budget'!B52</f>
        <v>42601</v>
      </c>
      <c r="R38" s="301">
        <f>'Spring Feed Budget'!$D$5/'Spring Feed Budget'!Z52</f>
        <v>2.3759239704329387</v>
      </c>
      <c r="S38" s="302">
        <f>'Spring Feed Budget'!Y52</f>
        <v>67.435069587569188</v>
      </c>
    </row>
    <row r="39" spans="17:19" x14ac:dyDescent="0.25">
      <c r="Q39" s="303">
        <f>'Spring Feed Budget'!B53</f>
        <v>42602</v>
      </c>
      <c r="R39" s="301">
        <f>'Spring Feed Budget'!$D$5/'Spring Feed Budget'!Z53</f>
        <v>2.4162371134020542</v>
      </c>
      <c r="S39" s="302">
        <f>'Spring Feed Budget'!Y53</f>
        <v>69.851306700971236</v>
      </c>
    </row>
    <row r="40" spans="17:19" x14ac:dyDescent="0.25">
      <c r="Q40" s="303">
        <f>'Spring Feed Budget'!B54</f>
        <v>42603</v>
      </c>
      <c r="R40" s="301">
        <f>'Spring Feed Budget'!$D$5/'Spring Feed Budget'!Z54</f>
        <v>2.457941883329684</v>
      </c>
      <c r="S40" s="302">
        <f>'Spring Feed Budget'!Y54</f>
        <v>72.309248584300917</v>
      </c>
    </row>
    <row r="41" spans="17:19" x14ac:dyDescent="0.25">
      <c r="Q41" s="303">
        <f>'Spring Feed Budget'!B55</f>
        <v>42604</v>
      </c>
      <c r="R41" s="301">
        <f>'Spring Feed Budget'!$D$5/'Spring Feed Budget'!Z55</f>
        <v>2.5011116051578397</v>
      </c>
      <c r="S41" s="302">
        <f>'Spring Feed Budget'!Y55</f>
        <v>74.810360189458763</v>
      </c>
    </row>
    <row r="42" spans="17:19" x14ac:dyDescent="0.25">
      <c r="Q42" s="303">
        <f>'Spring Feed Budget'!B56</f>
        <v>42605</v>
      </c>
      <c r="R42" s="301">
        <f>'Spring Feed Budget'!$D$5/'Spring Feed Budget'!Z56</f>
        <v>2.545824847250501</v>
      </c>
      <c r="S42" s="302">
        <f>'Spring Feed Budget'!Y56</f>
        <v>77.356185036709263</v>
      </c>
    </row>
    <row r="43" spans="17:19" x14ac:dyDescent="0.25">
      <c r="Q43" s="303">
        <f>'Spring Feed Budget'!B57</f>
        <v>42606</v>
      </c>
      <c r="R43" s="301">
        <f>'Spring Feed Budget'!$D$5/'Spring Feed Budget'!Z57</f>
        <v>2.5921658986175027</v>
      </c>
      <c r="S43" s="302">
        <f>'Spring Feed Budget'!Y57</f>
        <v>79.948350935326772</v>
      </c>
    </row>
    <row r="44" spans="17:19" x14ac:dyDescent="0.25">
      <c r="Q44" s="303">
        <f>'Spring Feed Budget'!B58</f>
        <v>42607</v>
      </c>
      <c r="R44" s="301">
        <f>'Spring Feed Budget'!$D$5/'Spring Feed Budget'!Z58</f>
        <v>2.6402252992255248</v>
      </c>
      <c r="S44" s="302">
        <f>'Spring Feed Budget'!Y58</f>
        <v>82.588576234552292</v>
      </c>
    </row>
    <row r="45" spans="17:19" x14ac:dyDescent="0.25">
      <c r="Q45" s="303">
        <f>'Spring Feed Budget'!B59</f>
        <v>42608</v>
      </c>
      <c r="R45" s="301">
        <f>'Spring Feed Budget'!$D$5/'Spring Feed Budget'!Z59</f>
        <v>2.6901004304160598</v>
      </c>
      <c r="S45" s="302">
        <f>'Spring Feed Budget'!Y59</f>
        <v>85.278676664968359</v>
      </c>
    </row>
    <row r="46" spans="17:19" x14ac:dyDescent="0.25">
      <c r="Q46" s="303">
        <f>'Spring Feed Budget'!B60</f>
        <v>42609</v>
      </c>
      <c r="R46" s="301">
        <f>'Spring Feed Budget'!$D$5/'Spring Feed Budget'!Z60</f>
        <v>2.7418961735315528</v>
      </c>
      <c r="S46" s="302">
        <f>'Spring Feed Budget'!Y60</f>
        <v>88.020572838499916</v>
      </c>
    </row>
    <row r="47" spans="17:19" x14ac:dyDescent="0.25">
      <c r="Q47" s="303">
        <f>'Spring Feed Budget'!B61</f>
        <v>42610</v>
      </c>
      <c r="R47" s="301">
        <f>'Spring Feed Budget'!$D$5/'Spring Feed Budget'!Z61</f>
        <v>2.7957256461232505</v>
      </c>
      <c r="S47" s="302">
        <f>'Spring Feed Budget'!Y61</f>
        <v>90.816298484623161</v>
      </c>
    </row>
    <row r="48" spans="17:19" x14ac:dyDescent="0.25">
      <c r="Q48" s="303">
        <f>'Spring Feed Budget'!B62</f>
        <v>42611</v>
      </c>
      <c r="R48" s="301">
        <f>'Spring Feed Budget'!$D$5/'Spring Feed Budget'!Z62</f>
        <v>2.8517110266159595</v>
      </c>
      <c r="S48" s="302">
        <f>'Spring Feed Budget'!Y62</f>
        <v>93.66800951123912</v>
      </c>
    </row>
    <row r="49" spans="17:19" x14ac:dyDescent="0.25">
      <c r="Q49" s="303">
        <f>'Spring Feed Budget'!B63</f>
        <v>42612</v>
      </c>
      <c r="R49" s="301">
        <f>'Spring Feed Budget'!$D$5/'Spring Feed Budget'!Z63</f>
        <v>2.9099844800827626</v>
      </c>
      <c r="S49" s="302">
        <f>'Spring Feed Budget'!Y63</f>
        <v>96.577993991321875</v>
      </c>
    </row>
    <row r="50" spans="17:19" x14ac:dyDescent="0.25">
      <c r="Q50" s="303">
        <f>'Spring Feed Budget'!B64</f>
        <v>42613</v>
      </c>
      <c r="R50" s="301">
        <f>'Spring Feed Budget'!$D$5/'Spring Feed Budget'!Z64</f>
        <v>2.9706891998943648</v>
      </c>
      <c r="S50" s="302">
        <f>'Spring Feed Budget'!Y64</f>
        <v>99.548683191216242</v>
      </c>
    </row>
    <row r="51" spans="17:19" x14ac:dyDescent="0.25">
      <c r="Q51" s="303">
        <f>'Spring Feed Budget'!B65</f>
        <v>42614</v>
      </c>
      <c r="R51" s="301">
        <f>'Spring Feed Budget'!$D$5/'Spring Feed Budget'!Z65</f>
        <v>3.0339805825242605</v>
      </c>
      <c r="S51" s="302">
        <f>'Spring Feed Budget'!Y65</f>
        <v>102.58266377374051</v>
      </c>
    </row>
    <row r="52" spans="17:19" x14ac:dyDescent="0.25">
      <c r="Q52" s="303">
        <f>'Spring Feed Budget'!B66</f>
        <v>42615</v>
      </c>
      <c r="R52" s="301">
        <f>'Spring Feed Budget'!$D$5/'Spring Feed Budget'!Z66</f>
        <v>3.1000275558004846</v>
      </c>
      <c r="S52" s="302">
        <f>'Spring Feed Budget'!Y66</f>
        <v>105.68269132954099</v>
      </c>
    </row>
    <row r="53" spans="17:19" x14ac:dyDescent="0.25">
      <c r="Q53" s="303">
        <f>'Spring Feed Budget'!B67</f>
        <v>42616</v>
      </c>
      <c r="R53" s="301">
        <f>'Spring Feed Budget'!$D$5/'Spring Feed Budget'!Z67</f>
        <v>3.16901408450703</v>
      </c>
      <c r="S53" s="302">
        <f>'Spring Feed Budget'!Y67</f>
        <v>108.85170541404801</v>
      </c>
    </row>
    <row r="54" spans="17:19" x14ac:dyDescent="0.25">
      <c r="Q54" s="303">
        <f>'Spring Feed Budget'!B68</f>
        <v>42617</v>
      </c>
      <c r="R54" s="301">
        <f>'Spring Feed Budget'!$D$5/'Spring Feed Budget'!Z68</f>
        <v>3.2411408815903071</v>
      </c>
      <c r="S54" s="302">
        <f>'Spring Feed Budget'!Y68</f>
        <v>112.09284629563832</v>
      </c>
    </row>
    <row r="55" spans="17:19" x14ac:dyDescent="0.25">
      <c r="Q55" s="303">
        <f>'Spring Feed Budget'!B69</f>
        <v>42618</v>
      </c>
      <c r="R55" s="301">
        <f>'Spring Feed Budget'!$D$5/'Spring Feed Budget'!Z69</f>
        <v>3.3166273584905532</v>
      </c>
      <c r="S55" s="302">
        <f>'Spring Feed Budget'!Y69</f>
        <v>115.40947365412887</v>
      </c>
    </row>
    <row r="56" spans="17:19" x14ac:dyDescent="0.25">
      <c r="Q56" s="303">
        <f>'Spring Feed Budget'!B70</f>
        <v>42619</v>
      </c>
      <c r="R56" s="301">
        <f>'Spring Feed Budget'!$D$5/'Spring Feed Budget'!Z70</f>
        <v>3.395713854512513</v>
      </c>
      <c r="S56" s="302">
        <f>'Spring Feed Budget'!Y70</f>
        <v>118.80518750864138</v>
      </c>
    </row>
    <row r="57" spans="17:19" x14ac:dyDescent="0.25">
      <c r="Q57" s="303">
        <f>'Spring Feed Budget'!B71</f>
        <v>42620</v>
      </c>
      <c r="R57" s="301">
        <f>'Spring Feed Budget'!$D$5/'Spring Feed Budget'!Z71</f>
        <v>3.4786641929498932</v>
      </c>
      <c r="S57" s="302">
        <f>'Spring Feed Budget'!Y71</f>
        <v>122.28385170159127</v>
      </c>
    </row>
    <row r="58" spans="17:19" x14ac:dyDescent="0.25">
      <c r="Q58" s="303">
        <f>'Spring Feed Budget'!B72</f>
        <v>42621</v>
      </c>
      <c r="R58" s="301">
        <f>'Spring Feed Budget'!$D$5/'Spring Feed Budget'!Z72</f>
        <v>3.5657686212361184</v>
      </c>
      <c r="S58" s="302">
        <f>'Spring Feed Budget'!Y72</f>
        <v>125.84962032282739</v>
      </c>
    </row>
    <row r="59" spans="17:19" x14ac:dyDescent="0.25">
      <c r="Q59" s="303">
        <f>'Spring Feed Budget'!B73</f>
        <v>42622</v>
      </c>
      <c r="R59" s="301">
        <f>'Spring Feed Budget'!$D$5/'Spring Feed Budget'!Z73</f>
        <v>3.6573472041612329</v>
      </c>
      <c r="S59" s="302">
        <f>'Spring Feed Budget'!Y73</f>
        <v>129.50696752698863</v>
      </c>
    </row>
    <row r="60" spans="17:19" x14ac:dyDescent="0.25">
      <c r="Q60" s="303">
        <f>'Spring Feed Budget'!B74</f>
        <v>42623</v>
      </c>
      <c r="R60" s="301">
        <f>'Spring Feed Budget'!$D$5/'Spring Feed Budget'!Z74</f>
        <v>3.7537537537537378</v>
      </c>
      <c r="S60" s="302">
        <f>'Spring Feed Budget'!Y74</f>
        <v>133.26072128074236</v>
      </c>
    </row>
    <row r="61" spans="17:19" x14ac:dyDescent="0.25">
      <c r="Q61" s="303">
        <f>'Spring Feed Budget'!B75</f>
        <v>42624</v>
      </c>
      <c r="R61" s="301">
        <f>'Spring Feed Budget'!$D$5/'Spring Feed Budget'!Z75</f>
        <v>3.8553803975325396</v>
      </c>
      <c r="S61" s="302">
        <f>'Spring Feed Budget'!Y75</f>
        <v>137.1161016782749</v>
      </c>
    </row>
    <row r="62" spans="17:19" x14ac:dyDescent="0.25">
      <c r="Q62" s="303">
        <f>'Spring Feed Budget'!B76</f>
        <v>42625</v>
      </c>
      <c r="R62" s="301">
        <f>'Spring Feed Budget'!$D$5/'Spring Feed Budget'!Z76</f>
        <v>3.9626629094751498</v>
      </c>
      <c r="S62" s="302">
        <f>'Spring Feed Budget'!Y76</f>
        <v>141.07876458775004</v>
      </c>
    </row>
    <row r="63" spans="17:19" x14ac:dyDescent="0.25">
      <c r="Q63" s="303">
        <f>'Spring Feed Budget'!B77</f>
        <v>42626</v>
      </c>
      <c r="R63" s="301">
        <f>'Spring Feed Budget'!$D$5/'Spring Feed Budget'!Z77</f>
        <v>4.0760869565217206</v>
      </c>
      <c r="S63" s="302">
        <f>'Spring Feed Budget'!Y77</f>
        <v>145.15485154427176</v>
      </c>
    </row>
    <row r="64" spans="17:19" x14ac:dyDescent="0.25">
      <c r="Q64" s="303">
        <f>'Spring Feed Budget'!B78</f>
        <v>42627</v>
      </c>
      <c r="R64" s="301">
        <f>'Spring Feed Budget'!$D$5/'Spring Feed Budget'!Z78</f>
        <v>4.1961954494591378</v>
      </c>
      <c r="S64" s="302">
        <f>'Spring Feed Budget'!Y78</f>
        <v>149.3510469937309</v>
      </c>
    </row>
    <row r="65" spans="2:19" x14ac:dyDescent="0.25">
      <c r="Q65" s="303">
        <f>'Spring Feed Budget'!B79</f>
        <v>42628</v>
      </c>
      <c r="R65" s="301">
        <f>'Spring Feed Budget'!$D$5/'Spring Feed Budget'!Z79</f>
        <v>4.3235972328977503</v>
      </c>
      <c r="S65" s="302">
        <f>'Spring Feed Budget'!Y79</f>
        <v>153.67464422662866</v>
      </c>
    </row>
    <row r="66" spans="2:19" x14ac:dyDescent="0.25">
      <c r="Q66" s="303">
        <f>'Spring Feed Budget'!B80</f>
        <v>42629</v>
      </c>
      <c r="R66" s="301">
        <f>'Spring Feed Budget'!$D$5/'Spring Feed Budget'!Z80</f>
        <v>4.4589774078477786</v>
      </c>
      <c r="S66" s="302">
        <f>'Spring Feed Budget'!Y80</f>
        <v>158.13362163447644</v>
      </c>
    </row>
    <row r="67" spans="2:19" x14ac:dyDescent="0.25">
      <c r="Q67" s="303">
        <f>'Spring Feed Budget'!B81</f>
        <v>42630</v>
      </c>
      <c r="R67" s="301">
        <f>'Spring Feed Budget'!$D$5/'Spring Feed Budget'!Z81</f>
        <v>4.6031096563011227</v>
      </c>
      <c r="S67" s="302">
        <f>'Spring Feed Budget'!Y81</f>
        <v>162.73673129077756</v>
      </c>
    </row>
    <row r="68" spans="2:19" x14ac:dyDescent="0.25">
      <c r="Q68" s="303">
        <f>'Spring Feed Budget'!B82</f>
        <v>42631</v>
      </c>
      <c r="R68" s="301">
        <f>'Spring Feed Budget'!$D$5/'Spring Feed Budget'!Z82</f>
        <v>4.7568710359407786</v>
      </c>
      <c r="S68" s="302">
        <f>'Spring Feed Budget'!Y82</f>
        <v>167.49360232671833</v>
      </c>
    </row>
    <row r="69" spans="2:19" x14ac:dyDescent="0.25">
      <c r="Q69" s="303">
        <f>'Spring Feed Budget'!B83</f>
        <v>42632</v>
      </c>
      <c r="R69" s="301">
        <f>'Spring Feed Budget'!$D$5/'Spring Feed Budget'!Z83</f>
        <v>4.9212598425196594</v>
      </c>
      <c r="S69" s="302">
        <f>'Spring Feed Budget'!Y83</f>
        <v>172.41486216923798</v>
      </c>
    </row>
    <row r="70" spans="2:19" x14ac:dyDescent="0.25">
      <c r="B70" s="331"/>
      <c r="C70" s="331"/>
      <c r="D70" s="331"/>
      <c r="E70" s="331"/>
      <c r="F70" s="332"/>
      <c r="G70" s="331"/>
      <c r="H70" s="331"/>
      <c r="I70" s="331"/>
      <c r="J70" s="331"/>
      <c r="K70" s="331"/>
      <c r="L70" s="331"/>
      <c r="M70" s="332"/>
      <c r="N70" s="331"/>
      <c r="Q70" s="303">
        <f>'Spring Feed Budget'!B84</f>
        <v>42633</v>
      </c>
      <c r="R70" s="301">
        <f>'Spring Feed Budget'!$D$5/'Spring Feed Budget'!Z84</f>
        <v>5.0974173085636334</v>
      </c>
      <c r="S70" s="302">
        <f>'Spring Feed Budget'!Y84</f>
        <v>177.5122794778016</v>
      </c>
    </row>
    <row r="71" spans="2:19" x14ac:dyDescent="0.25">
      <c r="B71" s="331"/>
      <c r="C71" s="331"/>
      <c r="D71" s="331"/>
      <c r="E71" s="331"/>
      <c r="F71" s="331"/>
      <c r="G71" s="331"/>
      <c r="H71" s="331"/>
      <c r="I71" s="331"/>
      <c r="J71" s="331"/>
      <c r="K71" s="331"/>
      <c r="L71" s="331"/>
      <c r="M71" s="331"/>
      <c r="N71" s="331"/>
      <c r="Q71" s="303">
        <f>'Spring Feed Budget'!B85</f>
        <v>42634</v>
      </c>
      <c r="R71" s="301">
        <f>'Spring Feed Budget'!$D$5/'Spring Feed Budget'!Z85</f>
        <v>5.2866541353383161</v>
      </c>
      <c r="S71" s="302">
        <f>'Spring Feed Budget'!Y85</f>
        <v>182.79893361313992</v>
      </c>
    </row>
    <row r="72" spans="2:19" x14ac:dyDescent="0.25">
      <c r="B72" s="331"/>
      <c r="C72" s="331"/>
      <c r="D72" s="331"/>
      <c r="E72" s="331"/>
      <c r="F72" s="331"/>
      <c r="G72" s="331"/>
      <c r="H72" s="331"/>
      <c r="I72" s="331"/>
      <c r="J72" s="331"/>
      <c r="K72" s="331"/>
      <c r="L72" s="331"/>
      <c r="M72" s="331"/>
      <c r="N72" s="331"/>
      <c r="Q72" s="303">
        <f>'Spring Feed Budget'!B86</f>
        <v>42635</v>
      </c>
      <c r="R72" s="301">
        <f>'Spring Feed Budget'!$D$5/'Spring Feed Budget'!Z86</f>
        <v>5.4904831625182702</v>
      </c>
      <c r="S72" s="302">
        <f>'Spring Feed Budget'!Y86</f>
        <v>188.2894167756582</v>
      </c>
    </row>
    <row r="73" spans="2:19" x14ac:dyDescent="0.25">
      <c r="B73" s="331"/>
      <c r="C73" s="331"/>
      <c r="D73" s="331"/>
      <c r="E73" s="331"/>
      <c r="F73" s="331"/>
      <c r="G73" s="331"/>
      <c r="H73" s="331"/>
      <c r="I73" s="331"/>
      <c r="J73" s="331"/>
      <c r="K73" s="331"/>
      <c r="L73" s="331"/>
      <c r="M73" s="331"/>
      <c r="N73" s="331"/>
      <c r="Q73" s="303">
        <f>'Spring Feed Budget'!B87</f>
        <v>42636</v>
      </c>
      <c r="R73" s="301">
        <f>'Spring Feed Budget'!$D$5/'Spring Feed Budget'!Z87</f>
        <v>5.7106598984771235</v>
      </c>
      <c r="S73" s="302">
        <f>'Spring Feed Budget'!Y87</f>
        <v>194.00007667413533</v>
      </c>
    </row>
    <row r="74" spans="2:19" x14ac:dyDescent="0.25">
      <c r="Q74" s="303">
        <f>'Spring Feed Budget'!B88</f>
        <v>42637</v>
      </c>
      <c r="R74" s="301">
        <f>'Spring Feed Budget'!$D$5/'Spring Feed Budget'!Z88</f>
        <v>5.9492332099417933</v>
      </c>
      <c r="S74" s="302">
        <f>'Spring Feed Budget'!Y88</f>
        <v>199.94930988407711</v>
      </c>
    </row>
    <row r="75" spans="2:19" x14ac:dyDescent="0.25">
      <c r="Q75" s="303">
        <f>'Spring Feed Budget'!B89</f>
        <v>42638</v>
      </c>
      <c r="R75" s="301">
        <f>'Spring Feed Budget'!$D$5/'Spring Feed Budget'!Z89</f>
        <v>6.2086092715231391</v>
      </c>
      <c r="S75" s="302">
        <f>'Spring Feed Budget'!Y89</f>
        <v>206.15791915560024</v>
      </c>
    </row>
    <row r="76" spans="2:19" x14ac:dyDescent="0.25">
      <c r="Q76" s="303">
        <f>'Spring Feed Budget'!B90</f>
        <v>42639</v>
      </c>
      <c r="R76" s="301">
        <f>'Spring Feed Budget'!$D$5/'Spring Feed Budget'!Z90</f>
        <v>6.4916330063473318</v>
      </c>
      <c r="S76" s="302">
        <f>'Spring Feed Budget'!Y90</f>
        <v>212.64955216194758</v>
      </c>
    </row>
    <row r="77" spans="2:19" x14ac:dyDescent="0.25">
      <c r="Q77" s="303">
        <f>'Spring Feed Budget'!B91</f>
        <v>42640</v>
      </c>
      <c r="R77" s="301">
        <f>'Spring Feed Budget'!$D$5/'Spring Feed Budget'!Z91</f>
        <v>6.8016928657798807</v>
      </c>
      <c r="S77" s="302">
        <f>'Spring Feed Budget'!Y91</f>
        <v>219.45124502772745</v>
      </c>
    </row>
    <row r="78" spans="2:19" x14ac:dyDescent="0.25">
      <c r="Q78" s="303">
        <f>'Spring Feed Budget'!B92</f>
        <v>42641</v>
      </c>
      <c r="R78" s="301">
        <f>'Spring Feed Budget'!$D$5/'Spring Feed Budget'!Z92</f>
        <v>7.1428571428570917</v>
      </c>
      <c r="S78" s="302">
        <f>'Spring Feed Budget'!Y92</f>
        <v>226.59410217058453</v>
      </c>
    </row>
    <row r="79" spans="2:19" x14ac:dyDescent="0.25">
      <c r="Q79" s="303">
        <f>'Spring Feed Budget'!B93</f>
        <v>42642</v>
      </c>
      <c r="R79" s="301">
        <f>'Spring Feed Budget'!$D$5/'Spring Feed Budget'!Z93</f>
        <v>7.1428571428571432</v>
      </c>
      <c r="S79" s="302">
        <f>'Spring Feed Budget'!Y93</f>
        <v>233.73695931344167</v>
      </c>
    </row>
    <row r="80" spans="2:19" x14ac:dyDescent="0.25">
      <c r="Q80" s="303">
        <f>'Spring Feed Budget'!B94</f>
        <v>42643</v>
      </c>
      <c r="R80" s="301">
        <f>'Spring Feed Budget'!$D$5/'Spring Feed Budget'!Z94</f>
        <v>7.1428571428571432</v>
      </c>
      <c r="S80" s="302">
        <f>'Spring Feed Budget'!Y94</f>
        <v>240.87981645629881</v>
      </c>
    </row>
    <row r="81" spans="17:19" x14ac:dyDescent="0.25">
      <c r="Q81" s="303">
        <f>'Spring Feed Budget'!B95</f>
        <v>42644</v>
      </c>
      <c r="R81" s="301">
        <f>'Spring Feed Budget'!$D$5/'Spring Feed Budget'!Z95</f>
        <v>7.1428571428571432</v>
      </c>
      <c r="S81" s="302">
        <f>'Spring Feed Budget'!Y95</f>
        <v>248.02267359915595</v>
      </c>
    </row>
    <row r="82" spans="17:19" x14ac:dyDescent="0.25">
      <c r="Q82" s="303">
        <f>'Spring Feed Budget'!B96</f>
        <v>42645</v>
      </c>
      <c r="R82" s="301">
        <f>'Spring Feed Budget'!$D$5/'Spring Feed Budget'!Z96</f>
        <v>7.1428571428571432</v>
      </c>
      <c r="S82" s="302">
        <f>'Spring Feed Budget'!Y96</f>
        <v>255.16553074201309</v>
      </c>
    </row>
    <row r="83" spans="17:19" x14ac:dyDescent="0.25">
      <c r="Q83" s="303">
        <f>'Spring Feed Budget'!B97</f>
        <v>42646</v>
      </c>
      <c r="R83" s="301">
        <f>'Spring Feed Budget'!$D$5/'Spring Feed Budget'!Z97</f>
        <v>7.1428571428571432</v>
      </c>
      <c r="S83" s="302">
        <f>'Spring Feed Budget'!Y97</f>
        <v>262.30838788487023</v>
      </c>
    </row>
    <row r="84" spans="17:19" x14ac:dyDescent="0.25">
      <c r="Q84" s="303">
        <f>'Spring Feed Budget'!B98</f>
        <v>42647</v>
      </c>
      <c r="R84" s="301">
        <f>'Spring Feed Budget'!$D$5/'Spring Feed Budget'!Z98</f>
        <v>7.1428571428571432</v>
      </c>
      <c r="S84" s="302">
        <f>'Spring Feed Budget'!Y98</f>
        <v>269.4512450277274</v>
      </c>
    </row>
    <row r="85" spans="17:19" x14ac:dyDescent="0.25">
      <c r="Q85" s="303">
        <f>'Spring Feed Budget'!B99</f>
        <v>42648</v>
      </c>
      <c r="R85" s="301">
        <f>'Spring Feed Budget'!$D$5/'Spring Feed Budget'!Z99</f>
        <v>7.1428571428571432</v>
      </c>
      <c r="S85" s="302">
        <f>'Spring Feed Budget'!Y99</f>
        <v>276.59410217058456</v>
      </c>
    </row>
    <row r="86" spans="17:19" x14ac:dyDescent="0.25">
      <c r="Q86" s="303">
        <f>'Spring Feed Budget'!B100</f>
        <v>42649</v>
      </c>
      <c r="R86" s="301">
        <f>'Spring Feed Budget'!$D$5/'Spring Feed Budget'!Z100</f>
        <v>7.1428571428571432</v>
      </c>
      <c r="S86" s="302">
        <f>'Spring Feed Budget'!Y100</f>
        <v>283.73695931344173</v>
      </c>
    </row>
    <row r="87" spans="17:19" x14ac:dyDescent="0.25">
      <c r="Q87" s="303">
        <f>'Spring Feed Budget'!B101</f>
        <v>42650</v>
      </c>
      <c r="R87" s="301">
        <f>'Spring Feed Budget'!$D$5/'Spring Feed Budget'!Z101</f>
        <v>7.1428571428571432</v>
      </c>
      <c r="S87" s="302">
        <f>'Spring Feed Budget'!Y101</f>
        <v>290.8798164562989</v>
      </c>
    </row>
    <row r="88" spans="17:19" x14ac:dyDescent="0.25">
      <c r="Q88" s="303">
        <f>'Spring Feed Budget'!B102</f>
        <v>42651</v>
      </c>
      <c r="R88" s="301">
        <f>'Spring Feed Budget'!$D$5/'Spring Feed Budget'!Z102</f>
        <v>7.1428571428571432</v>
      </c>
      <c r="S88" s="302">
        <f>'Spring Feed Budget'!Y102</f>
        <v>298.02267359915606</v>
      </c>
    </row>
    <row r="89" spans="17:19" x14ac:dyDescent="0.25">
      <c r="Q89" s="303">
        <f>'Spring Feed Budget'!B103</f>
        <v>42652</v>
      </c>
      <c r="R89" s="301">
        <f>'Spring Feed Budget'!$D$5/'Spring Feed Budget'!Z103</f>
        <v>7.1428571428571432</v>
      </c>
      <c r="S89" s="302">
        <f>'Spring Feed Budget'!Y103</f>
        <v>305.16553074201323</v>
      </c>
    </row>
    <row r="90" spans="17:19" x14ac:dyDescent="0.25">
      <c r="Q90" s="303">
        <f>'Spring Feed Budget'!B104</f>
        <v>42653</v>
      </c>
      <c r="R90" s="301">
        <f>'Spring Feed Budget'!$D$5/'Spring Feed Budget'!Z104</f>
        <v>7.1428571428571432</v>
      </c>
      <c r="S90" s="302">
        <f>'Spring Feed Budget'!Y104</f>
        <v>312.3083878848704</v>
      </c>
    </row>
    <row r="91" spans="17:19" x14ac:dyDescent="0.25">
      <c r="Q91" s="303">
        <f>'Spring Feed Budget'!B105</f>
        <v>42654</v>
      </c>
      <c r="R91" s="301">
        <f>'Spring Feed Budget'!$D$5/'Spring Feed Budget'!Z105</f>
        <v>7.1428571428571432</v>
      </c>
      <c r="S91" s="302">
        <f>'Spring Feed Budget'!Y105</f>
        <v>319.45124502772757</v>
      </c>
    </row>
    <row r="92" spans="17:19" x14ac:dyDescent="0.25">
      <c r="Q92" s="303">
        <f>'Spring Feed Budget'!B106</f>
        <v>42655</v>
      </c>
      <c r="R92" s="301">
        <f>'Spring Feed Budget'!$D$5/'Spring Feed Budget'!Z106</f>
        <v>7.1428571428571432</v>
      </c>
      <c r="S92" s="302">
        <f>'Spring Feed Budget'!Y106</f>
        <v>326.59410217058473</v>
      </c>
    </row>
    <row r="93" spans="17:19" x14ac:dyDescent="0.25">
      <c r="Q93" s="303">
        <f>'Spring Feed Budget'!B107</f>
        <v>42656</v>
      </c>
      <c r="R93" s="301">
        <f>'Spring Feed Budget'!$D$5/'Spring Feed Budget'!Z107</f>
        <v>7.1428571428571432</v>
      </c>
      <c r="S93" s="302">
        <f>'Spring Feed Budget'!Y107</f>
        <v>333.7369593134419</v>
      </c>
    </row>
    <row r="94" spans="17:19" x14ac:dyDescent="0.25">
      <c r="Q94" s="303">
        <f>'Spring Feed Budget'!B108</f>
        <v>42657</v>
      </c>
      <c r="R94" s="301">
        <f>'Spring Feed Budget'!$D$5/'Spring Feed Budget'!Z108</f>
        <v>7.1428571428571432</v>
      </c>
      <c r="S94" s="302">
        <f>'Spring Feed Budget'!Y108</f>
        <v>340.87981645629907</v>
      </c>
    </row>
    <row r="95" spans="17:19" x14ac:dyDescent="0.25">
      <c r="Q95" s="303">
        <f>'Spring Feed Budget'!B109</f>
        <v>42658</v>
      </c>
      <c r="R95" s="301">
        <f>'Spring Feed Budget'!$D$5/'Spring Feed Budget'!Z109</f>
        <v>7.1428571428571432</v>
      </c>
      <c r="S95" s="302">
        <f>'Spring Feed Budget'!Y109</f>
        <v>348.02267359915624</v>
      </c>
    </row>
  </sheetData>
  <sheetProtection password="EB10" sheet="1" selectLockedCells="1" selectUnlockedCells="1"/>
  <pageMargins left="0.70866141732283472" right="0.70866141732283472" top="0.74803149606299213" bottom="0.74803149606299213" header="0.31496062992125984" footer="0.31496062992125984"/>
  <pageSetup paperSize="9" scale="7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C44"/>
  <sheetViews>
    <sheetView showGridLines="0" zoomScale="90" zoomScaleNormal="90" workbookViewId="0">
      <selection activeCell="G3" sqref="G3:H3"/>
    </sheetView>
  </sheetViews>
  <sheetFormatPr defaultRowHeight="12.75" x14ac:dyDescent="0.2"/>
  <cols>
    <col min="1" max="1" width="2.42578125" style="1" customWidth="1"/>
    <col min="2" max="2" width="16.28515625" style="1" customWidth="1"/>
    <col min="3" max="3" width="18.42578125" style="1" customWidth="1"/>
    <col min="4" max="4" width="12" style="1" customWidth="1"/>
    <col min="5" max="5" width="15.7109375" style="47" customWidth="1"/>
    <col min="6" max="6" width="18.7109375" style="1" customWidth="1"/>
    <col min="7" max="7" width="17" style="1" customWidth="1"/>
    <col min="8" max="8" width="17.7109375" style="1" customWidth="1"/>
    <col min="9" max="9" width="3.42578125" style="1" customWidth="1"/>
    <col min="10" max="10" width="5.140625" style="1" customWidth="1"/>
    <col min="11" max="11" width="9.140625" style="1" customWidth="1"/>
    <col min="12" max="16384" width="9.140625" style="1"/>
  </cols>
  <sheetData>
    <row r="1" spans="2:15" ht="1.5" customHeight="1" x14ac:dyDescent="0.2"/>
    <row r="2" spans="2:15" ht="51.75" customHeight="1" x14ac:dyDescent="0.25">
      <c r="B2" s="405" t="s">
        <v>46</v>
      </c>
      <c r="C2" s="405"/>
      <c r="D2" s="405"/>
      <c r="E2" s="405"/>
      <c r="F2" s="405"/>
      <c r="G2" s="405"/>
      <c r="H2" s="405"/>
      <c r="K2" s="25" t="s">
        <v>21</v>
      </c>
    </row>
    <row r="3" spans="2:15" ht="19.5" x14ac:dyDescent="0.3">
      <c r="B3" s="277" t="s">
        <v>22</v>
      </c>
      <c r="C3" s="278"/>
      <c r="D3" s="279"/>
      <c r="E3" s="279"/>
      <c r="F3" s="280" t="s">
        <v>20</v>
      </c>
      <c r="G3" s="406">
        <v>42587</v>
      </c>
      <c r="H3" s="406"/>
      <c r="K3" s="1" t="s">
        <v>23</v>
      </c>
    </row>
    <row r="4" spans="2:15" ht="13.5" thickBot="1" x14ac:dyDescent="0.25">
      <c r="B4" s="47"/>
      <c r="C4" s="260"/>
      <c r="O4" s="306"/>
    </row>
    <row r="5" spans="2:15" x14ac:dyDescent="0.2">
      <c r="B5" s="273"/>
      <c r="C5" s="274"/>
      <c r="D5" s="275"/>
      <c r="E5" s="276" t="s">
        <v>3</v>
      </c>
      <c r="F5" s="276" t="s">
        <v>112</v>
      </c>
      <c r="G5" s="276" t="s">
        <v>24</v>
      </c>
      <c r="H5" s="276" t="s">
        <v>4</v>
      </c>
    </row>
    <row r="6" spans="2:15" x14ac:dyDescent="0.2">
      <c r="B6" s="397" t="s">
        <v>25</v>
      </c>
      <c r="C6" s="398"/>
      <c r="D6" s="251"/>
      <c r="E6" s="61">
        <f ca="1">IF(E7&lt;0,0,E7)</f>
        <v>80</v>
      </c>
      <c r="F6" s="61">
        <f ca="1">IF(F7&lt;0,0,F7)</f>
        <v>60</v>
      </c>
      <c r="G6" s="61">
        <f>IF(G7&lt;0,0,G7)</f>
        <v>40</v>
      </c>
      <c r="H6" s="61">
        <f>IF(H7&lt;0,0,H7)</f>
        <v>310</v>
      </c>
      <c r="K6" s="1" t="s">
        <v>115</v>
      </c>
    </row>
    <row r="7" spans="2:15" x14ac:dyDescent="0.2">
      <c r="B7" s="397"/>
      <c r="C7" s="398"/>
      <c r="D7" s="251"/>
      <c r="E7" s="307">
        <f ca="1">VLOOKUP(G3,'Spring Feed Budget'!$B:$I,5)</f>
        <v>80</v>
      </c>
      <c r="F7" s="307">
        <f ca="1">VLOOKUP(G3,'Spring Feed Budget'!$B:$I,6)</f>
        <v>60</v>
      </c>
      <c r="G7" s="307">
        <f>VLOOKUP(G3,'Spring Feed Budget'!$B:$I,7)</f>
        <v>40</v>
      </c>
      <c r="H7" s="307">
        <f>VLOOKUP(G3,'Spring Feed Budget'!$B:$I,8)</f>
        <v>310</v>
      </c>
    </row>
    <row r="8" spans="2:15" x14ac:dyDescent="0.2">
      <c r="B8" s="397" t="s">
        <v>26</v>
      </c>
      <c r="C8" s="398"/>
      <c r="D8" s="252" t="s">
        <v>6</v>
      </c>
      <c r="E8" s="95">
        <v>3300</v>
      </c>
      <c r="F8" s="95">
        <v>3300</v>
      </c>
      <c r="G8" s="95">
        <v>3200</v>
      </c>
      <c r="H8" s="95">
        <v>3200</v>
      </c>
      <c r="K8" s="1" t="s">
        <v>27</v>
      </c>
    </row>
    <row r="9" spans="2:15" x14ac:dyDescent="0.2">
      <c r="B9" s="397" t="s">
        <v>28</v>
      </c>
      <c r="C9" s="398"/>
      <c r="D9" s="252" t="s">
        <v>6</v>
      </c>
      <c r="E9" s="95">
        <v>1300</v>
      </c>
      <c r="F9" s="95">
        <v>1300</v>
      </c>
      <c r="G9" s="95">
        <v>1500</v>
      </c>
      <c r="H9" s="95">
        <v>1500</v>
      </c>
    </row>
    <row r="10" spans="2:15" x14ac:dyDescent="0.2">
      <c r="B10" s="253"/>
      <c r="C10" s="254"/>
      <c r="D10" s="252"/>
      <c r="E10" s="27"/>
      <c r="F10" s="27"/>
      <c r="G10" s="27"/>
      <c r="H10" s="27"/>
    </row>
    <row r="11" spans="2:15" x14ac:dyDescent="0.2">
      <c r="B11" s="401" t="s">
        <v>43</v>
      </c>
      <c r="C11" s="402"/>
      <c r="D11" s="252" t="s">
        <v>29</v>
      </c>
      <c r="E11" s="49">
        <f>VLOOKUP(G3,'Spring Feed Budget'!B:S,9)-VLOOKUP(G3,'Spring Feed Budget'!B:S,10)</f>
        <v>5</v>
      </c>
      <c r="F11" s="28">
        <f>VLOOKUP(G3,'Spring Feed Budget'!B:T,12)-VLOOKUP(G3,'Spring Feed Budget'!B:T,13)</f>
        <v>10</v>
      </c>
      <c r="G11" s="49">
        <f>VLOOKUP(G3,'Spring Feed Budget'!B:T,15)-VLOOKUP(G3,'Spring Feed Budget'!B:T,16)</f>
        <v>12</v>
      </c>
      <c r="H11" s="49">
        <f>VLOOKUP(G3,'Spring Feed Budget'!B:T,18)-VLOOKUP(G3,'Spring Feed Budget'!B:T,19)</f>
        <v>13.5</v>
      </c>
    </row>
    <row r="12" spans="2:15" x14ac:dyDescent="0.2">
      <c r="B12" s="397"/>
      <c r="C12" s="398"/>
      <c r="D12" s="252"/>
      <c r="E12" s="27"/>
      <c r="F12" s="27"/>
      <c r="G12" s="27"/>
      <c r="H12" s="27"/>
    </row>
    <row r="13" spans="2:15" x14ac:dyDescent="0.2">
      <c r="B13" s="397" t="s">
        <v>30</v>
      </c>
      <c r="C13" s="398"/>
      <c r="D13" s="252" t="s">
        <v>31</v>
      </c>
      <c r="E13" s="50">
        <f ca="1">IF(E6=0,0,E14/E6)*10000</f>
        <v>25</v>
      </c>
      <c r="F13" s="29">
        <f ca="1">IF(F7=0,0,F14/F7)*10000</f>
        <v>50</v>
      </c>
      <c r="G13" s="50">
        <f>IF(G7=0,0,G14/G7)*10000</f>
        <v>70.588235294117652</v>
      </c>
      <c r="H13" s="50">
        <f>IF(H7=0,0,H14/H7)*10000</f>
        <v>79.411764705882362</v>
      </c>
    </row>
    <row r="14" spans="2:15" x14ac:dyDescent="0.2">
      <c r="B14" s="397" t="s">
        <v>32</v>
      </c>
      <c r="C14" s="398"/>
      <c r="D14" s="252" t="s">
        <v>10</v>
      </c>
      <c r="E14" s="53">
        <f ca="1">E11*E6/(E8-E9)</f>
        <v>0.2</v>
      </c>
      <c r="F14" s="212">
        <f ca="1">F11*F7/(F8-F9)</f>
        <v>0.3</v>
      </c>
      <c r="G14" s="53">
        <f>G11*G7/(G8-G9)</f>
        <v>0.28235294117647058</v>
      </c>
      <c r="H14" s="53">
        <f>H11*H7/(H8-H9)</f>
        <v>2.4617647058823531</v>
      </c>
    </row>
    <row r="15" spans="2:15" s="47" customFormat="1" ht="13.5" thickBot="1" x14ac:dyDescent="0.25">
      <c r="B15" s="253"/>
      <c r="C15" s="254"/>
      <c r="D15" s="252"/>
      <c r="E15" s="53"/>
      <c r="F15" s="53"/>
      <c r="G15" s="53"/>
      <c r="H15" s="53"/>
      <c r="J15" s="54"/>
    </row>
    <row r="16" spans="2:15" s="47" customFormat="1" ht="15.75" customHeight="1" thickBot="1" x14ac:dyDescent="0.25">
      <c r="B16" s="395" t="s">
        <v>71</v>
      </c>
      <c r="C16" s="396"/>
      <c r="D16" s="396"/>
      <c r="E16" s="262" t="str">
        <f ca="1">ROUND(E14+H14+G14+F14,1)&amp;"Ha"</f>
        <v>3.2Ha</v>
      </c>
      <c r="F16" s="263"/>
      <c r="G16" s="264" t="s">
        <v>72</v>
      </c>
      <c r="H16" s="261" t="str">
        <f>ROUND('Spring Feed Budget'!D5/VLOOKUP(G3,'Spring Feed Budget'!B:AF,25,0),1)&amp;"Ha"</f>
        <v>1.9Ha</v>
      </c>
      <c r="J16" s="54"/>
      <c r="K16" s="47" t="s">
        <v>116</v>
      </c>
    </row>
    <row r="17" spans="2:11" ht="13.5" thickBot="1" x14ac:dyDescent="0.25">
      <c r="B17" s="403" t="s">
        <v>33</v>
      </c>
      <c r="C17" s="404"/>
      <c r="D17" s="282" t="s">
        <v>29</v>
      </c>
      <c r="E17" s="265">
        <f>VLOOKUP(G3,'Spring Feed Budget'!B:S,10)</f>
        <v>7</v>
      </c>
      <c r="F17" s="265">
        <f>VLOOKUP(G3,'Spring Feed Budget'!B:T,13)</f>
        <v>0</v>
      </c>
      <c r="G17" s="265">
        <f>VLOOKUP(G3,'Spring Feed Budget'!B:T,16)</f>
        <v>3</v>
      </c>
      <c r="H17" s="265">
        <f>VLOOKUP(G3,'Spring Feed Budget'!B:T,19)</f>
        <v>3</v>
      </c>
    </row>
    <row r="18" spans="2:11" x14ac:dyDescent="0.2">
      <c r="B18" s="247"/>
      <c r="C18" s="248"/>
      <c r="D18" s="249"/>
      <c r="E18" s="30"/>
      <c r="F18" s="30"/>
      <c r="G18" s="30"/>
      <c r="H18" s="30"/>
    </row>
    <row r="19" spans="2:11" x14ac:dyDescent="0.2">
      <c r="B19" s="247" t="s">
        <v>134</v>
      </c>
      <c r="C19" s="250"/>
      <c r="D19" s="249"/>
      <c r="E19" s="26"/>
      <c r="F19" s="26"/>
      <c r="G19" s="26"/>
      <c r="H19" s="26"/>
    </row>
    <row r="20" spans="2:11" x14ac:dyDescent="0.2">
      <c r="B20" s="399" t="s">
        <v>135</v>
      </c>
      <c r="C20" s="400"/>
      <c r="D20" s="252" t="s">
        <v>9</v>
      </c>
      <c r="E20" s="95"/>
      <c r="F20" s="95"/>
      <c r="G20" s="95"/>
      <c r="H20" s="95">
        <v>2</v>
      </c>
      <c r="K20" s="1" t="s">
        <v>117</v>
      </c>
    </row>
    <row r="21" spans="2:11" x14ac:dyDescent="0.2">
      <c r="B21" s="399" t="s">
        <v>37</v>
      </c>
      <c r="C21" s="400"/>
      <c r="D21" s="252" t="s">
        <v>9</v>
      </c>
      <c r="E21" s="95">
        <v>5</v>
      </c>
      <c r="F21" s="95">
        <v>0</v>
      </c>
      <c r="G21" s="95">
        <v>5</v>
      </c>
      <c r="H21" s="95">
        <v>6</v>
      </c>
      <c r="K21" s="1" t="s">
        <v>40</v>
      </c>
    </row>
    <row r="22" spans="2:11" x14ac:dyDescent="0.2">
      <c r="B22" s="399" t="s">
        <v>136</v>
      </c>
      <c r="C22" s="400"/>
      <c r="D22" s="252" t="s">
        <v>9</v>
      </c>
      <c r="E22" s="95">
        <v>5</v>
      </c>
      <c r="F22" s="95">
        <v>5</v>
      </c>
      <c r="G22" s="95">
        <v>5</v>
      </c>
      <c r="H22" s="95"/>
    </row>
    <row r="23" spans="2:11" x14ac:dyDescent="0.2">
      <c r="B23" s="399" t="s">
        <v>38</v>
      </c>
      <c r="C23" s="400"/>
      <c r="D23" s="252" t="s">
        <v>9</v>
      </c>
      <c r="E23" s="95">
        <v>2</v>
      </c>
      <c r="F23" s="95">
        <v>5</v>
      </c>
      <c r="G23" s="95">
        <v>5</v>
      </c>
      <c r="H23" s="95"/>
    </row>
    <row r="24" spans="2:11" s="47" customFormat="1" ht="13.5" thickBot="1" x14ac:dyDescent="0.25">
      <c r="B24" s="399" t="s">
        <v>137</v>
      </c>
      <c r="C24" s="400"/>
      <c r="D24" s="270" t="s">
        <v>9</v>
      </c>
      <c r="E24" s="266"/>
      <c r="F24" s="266"/>
      <c r="G24" s="266"/>
      <c r="H24" s="266"/>
    </row>
    <row r="25" spans="2:11" s="47" customFormat="1" ht="13.5" thickBot="1" x14ac:dyDescent="0.25">
      <c r="B25" s="284" t="s">
        <v>138</v>
      </c>
      <c r="C25" s="267"/>
      <c r="D25" s="283" t="s">
        <v>9</v>
      </c>
      <c r="E25" s="281">
        <f>SUM(E20:E24)</f>
        <v>12</v>
      </c>
      <c r="F25" s="281">
        <f>SUM(F20:F24)</f>
        <v>10</v>
      </c>
      <c r="G25" s="281">
        <f>SUM(G20:G24)</f>
        <v>15</v>
      </c>
      <c r="H25" s="281">
        <f>SUM(H20:H24)</f>
        <v>8</v>
      </c>
    </row>
    <row r="26" spans="2:11" s="255" customFormat="1" ht="13.5" thickTop="1" x14ac:dyDescent="0.2">
      <c r="B26" s="256"/>
      <c r="C26" s="257"/>
      <c r="D26" s="258"/>
      <c r="E26" s="259"/>
      <c r="F26" s="259"/>
      <c r="G26" s="259"/>
      <c r="H26" s="259"/>
    </row>
    <row r="27" spans="2:11" x14ac:dyDescent="0.2">
      <c r="B27" s="268" t="s">
        <v>34</v>
      </c>
      <c r="C27" s="254"/>
      <c r="D27" s="252"/>
      <c r="E27" s="269"/>
      <c r="F27" s="269"/>
      <c r="G27" s="269"/>
      <c r="H27" s="269"/>
    </row>
    <row r="28" spans="2:11" x14ac:dyDescent="0.2">
      <c r="B28" s="397" t="str">
        <f>B20</f>
        <v>Barley</v>
      </c>
      <c r="C28" s="398"/>
      <c r="D28" s="252" t="s">
        <v>35</v>
      </c>
      <c r="E28" s="269" t="str">
        <f>IF(E20="","",E20*$E$6)</f>
        <v/>
      </c>
      <c r="F28" s="269" t="str">
        <f>IF(F20="","",F20*$F$7)</f>
        <v/>
      </c>
      <c r="G28" s="269" t="str">
        <f>IF(G20="","",G20*$G$7)</f>
        <v/>
      </c>
      <c r="H28" s="269">
        <f>IF(H20="","",H20*$H$7)</f>
        <v>620</v>
      </c>
    </row>
    <row r="29" spans="2:11" x14ac:dyDescent="0.2">
      <c r="B29" s="397" t="str">
        <f>B21</f>
        <v>Maize</v>
      </c>
      <c r="C29" s="398"/>
      <c r="D29" s="252" t="s">
        <v>35</v>
      </c>
      <c r="E29" s="269">
        <f ca="1">IF(E21="","",E21*$E$6)</f>
        <v>400</v>
      </c>
      <c r="F29" s="269">
        <f ca="1">IF(F21="","",F21*$F$7)</f>
        <v>0</v>
      </c>
      <c r="G29" s="269">
        <f>IF(G21="","",G21*$G$7)</f>
        <v>200</v>
      </c>
      <c r="H29" s="269">
        <f>IF(H21="","",H21*$H$7)</f>
        <v>1860</v>
      </c>
    </row>
    <row r="30" spans="2:11" x14ac:dyDescent="0.2">
      <c r="B30" s="397" t="str">
        <f>B22</f>
        <v>Straw</v>
      </c>
      <c r="C30" s="398"/>
      <c r="D30" s="252" t="s">
        <v>35</v>
      </c>
      <c r="E30" s="269">
        <f ca="1">IF(E22="","",E22*$E$6)</f>
        <v>400</v>
      </c>
      <c r="F30" s="269">
        <f ca="1">IF(F22="","",F22*$F$7)</f>
        <v>300</v>
      </c>
      <c r="G30" s="269">
        <f>IF(G22="","",G22*$G$7)</f>
        <v>200</v>
      </c>
      <c r="H30" s="269" t="str">
        <f>IF(H22="","",H22*$H$7)</f>
        <v/>
      </c>
      <c r="K30" s="31" t="s">
        <v>36</v>
      </c>
    </row>
    <row r="31" spans="2:11" x14ac:dyDescent="0.2">
      <c r="B31" s="397" t="str">
        <f>B23</f>
        <v>Molasses</v>
      </c>
      <c r="C31" s="398"/>
      <c r="D31" s="252" t="s">
        <v>35</v>
      </c>
      <c r="E31" s="269">
        <f ca="1">IF(E23="","",E23*$E$6)</f>
        <v>160</v>
      </c>
      <c r="F31" s="269">
        <f ca="1">IF(F23="","",F23*$F$7)</f>
        <v>300</v>
      </c>
      <c r="G31" s="269">
        <f>IF(G23="","",G23*$G$7)</f>
        <v>200</v>
      </c>
      <c r="H31" s="269" t="str">
        <f>IF(H23="","",H23*$H$7)</f>
        <v/>
      </c>
    </row>
    <row r="32" spans="2:11" ht="13.5" thickBot="1" x14ac:dyDescent="0.25">
      <c r="B32" s="393" t="str">
        <f>B24</f>
        <v>Hay</v>
      </c>
      <c r="C32" s="394"/>
      <c r="D32" s="270" t="s">
        <v>35</v>
      </c>
      <c r="E32" s="271" t="str">
        <f>IF(E24="","",E24*$E$6)</f>
        <v/>
      </c>
      <c r="F32" s="271" t="str">
        <f>IF(F24="","",F24*$F$7)</f>
        <v/>
      </c>
      <c r="G32" s="271" t="str">
        <f>IF(G24="","",G24*$G$7)</f>
        <v/>
      </c>
      <c r="H32" s="272" t="str">
        <f>IF(H24="","",H24*$H$7)</f>
        <v/>
      </c>
    </row>
    <row r="35" spans="1:29" ht="15" x14ac:dyDescent="0.25">
      <c r="A35" s="335"/>
      <c r="B35" s="331"/>
      <c r="C35" s="331"/>
      <c r="D35" s="331"/>
      <c r="E35" s="331"/>
      <c r="F35" s="332"/>
      <c r="G35" s="331"/>
      <c r="H35" s="331"/>
      <c r="I35" s="336"/>
      <c r="J35" s="336"/>
      <c r="K35" s="336"/>
      <c r="L35" s="336"/>
      <c r="M35" s="336"/>
      <c r="N35" s="336"/>
      <c r="O35" s="337"/>
      <c r="P35" s="336"/>
      <c r="Q35" s="336"/>
      <c r="R35" s="336"/>
      <c r="S35" s="336"/>
      <c r="T35" s="337"/>
      <c r="U35" s="336"/>
      <c r="V35" s="336"/>
      <c r="W35" s="336"/>
      <c r="X35" s="336"/>
      <c r="Y35" s="337"/>
      <c r="Z35" s="336"/>
      <c r="AA35" s="336"/>
      <c r="AB35" s="336"/>
      <c r="AC35" s="336"/>
    </row>
    <row r="36" spans="1:29" ht="15" x14ac:dyDescent="0.25">
      <c r="A36" s="334"/>
      <c r="B36" s="331"/>
      <c r="C36" s="331"/>
      <c r="D36" s="331"/>
      <c r="E36" s="331"/>
      <c r="F36" s="331"/>
      <c r="G36" s="331"/>
      <c r="H36" s="331"/>
      <c r="I36" s="336"/>
      <c r="J36" s="336"/>
      <c r="K36" s="336"/>
      <c r="L36" s="336"/>
      <c r="M36" s="336"/>
      <c r="N36" s="336"/>
      <c r="O36" s="336"/>
      <c r="P36" s="336"/>
      <c r="Q36" s="336"/>
      <c r="R36" s="336"/>
      <c r="S36" s="336"/>
      <c r="T36" s="336"/>
      <c r="U36" s="336"/>
      <c r="V36" s="336"/>
      <c r="W36" s="336"/>
      <c r="X36" s="336"/>
      <c r="Y36" s="336"/>
      <c r="Z36" s="336"/>
      <c r="AA36" s="336"/>
      <c r="AB36" s="336"/>
      <c r="AC36" s="336"/>
    </row>
    <row r="37" spans="1:29" ht="15" x14ac:dyDescent="0.25">
      <c r="A37" s="334"/>
      <c r="B37" s="331"/>
      <c r="C37" s="331"/>
      <c r="D37" s="331"/>
      <c r="E37" s="331"/>
      <c r="F37" s="331"/>
      <c r="G37" s="331"/>
      <c r="H37" s="331"/>
      <c r="I37" s="336"/>
      <c r="J37" s="336"/>
      <c r="K37" s="336"/>
      <c r="L37" s="336"/>
      <c r="M37" s="336"/>
      <c r="N37" s="336"/>
      <c r="O37" s="336"/>
      <c r="P37" s="336"/>
      <c r="Q37" s="336"/>
      <c r="R37" s="336"/>
      <c r="S37" s="336"/>
      <c r="T37" s="336"/>
      <c r="U37" s="336"/>
      <c r="V37" s="336"/>
      <c r="W37" s="336"/>
      <c r="X37" s="336"/>
      <c r="Y37" s="336"/>
      <c r="Z37" s="336"/>
      <c r="AA37" s="336"/>
      <c r="AB37" s="336"/>
      <c r="AC37" s="336"/>
    </row>
    <row r="38" spans="1:29" ht="15" x14ac:dyDescent="0.25">
      <c r="A38" s="334"/>
      <c r="B38" s="331"/>
      <c r="C38" s="331"/>
      <c r="D38" s="331"/>
      <c r="E38" s="331"/>
      <c r="F38" s="331"/>
      <c r="G38" s="331"/>
      <c r="H38" s="331"/>
      <c r="I38" s="336"/>
      <c r="J38" s="336"/>
      <c r="K38" s="336"/>
      <c r="L38" s="336"/>
      <c r="M38" s="336"/>
      <c r="N38" s="336"/>
      <c r="O38" s="336"/>
      <c r="P38" s="336"/>
      <c r="Q38" s="336"/>
      <c r="R38" s="336"/>
      <c r="S38" s="336"/>
      <c r="T38" s="336"/>
      <c r="U38" s="336"/>
      <c r="V38" s="336"/>
      <c r="W38" s="336"/>
      <c r="X38" s="336"/>
      <c r="Y38" s="336"/>
      <c r="Z38" s="336"/>
      <c r="AA38" s="336"/>
      <c r="AB38" s="336"/>
      <c r="AC38" s="336"/>
    </row>
    <row r="44" spans="1:29" x14ac:dyDescent="0.2">
      <c r="S44" s="1" t="s">
        <v>150</v>
      </c>
    </row>
  </sheetData>
  <sheetCalcPr fullCalcOnLoad="1"/>
  <sheetProtection password="EB50" sheet="1"/>
  <mergeCells count="22">
    <mergeCell ref="B2:H2"/>
    <mergeCell ref="G3:H3"/>
    <mergeCell ref="B6:C6"/>
    <mergeCell ref="B7:C7"/>
    <mergeCell ref="B8:C8"/>
    <mergeCell ref="B9:C9"/>
    <mergeCell ref="B11:C11"/>
    <mergeCell ref="B12:C12"/>
    <mergeCell ref="B13:C13"/>
    <mergeCell ref="B14:C14"/>
    <mergeCell ref="B17:C17"/>
    <mergeCell ref="B20:C20"/>
    <mergeCell ref="B32:C32"/>
    <mergeCell ref="B16:D16"/>
    <mergeCell ref="B31:C31"/>
    <mergeCell ref="B21:C21"/>
    <mergeCell ref="B22:C22"/>
    <mergeCell ref="B23:C23"/>
    <mergeCell ref="B28:C28"/>
    <mergeCell ref="B29:C29"/>
    <mergeCell ref="B30:C30"/>
    <mergeCell ref="B24:C24"/>
  </mergeCells>
  <pageMargins left="0.70866141732283472" right="0.70866141732283472"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23"/>
  <sheetViews>
    <sheetView topLeftCell="A6" workbookViewId="0">
      <selection activeCell="A98" sqref="A98"/>
    </sheetView>
  </sheetViews>
  <sheetFormatPr defaultRowHeight="15" x14ac:dyDescent="0.25"/>
  <cols>
    <col min="1" max="1" width="18" bestFit="1" customWidth="1"/>
  </cols>
  <sheetData>
    <row r="2" spans="1:2" x14ac:dyDescent="0.25">
      <c r="A2" s="57">
        <f>VLOOKUP(1,'Spring Feed Budget'!A:B,2,0)</f>
        <v>42588</v>
      </c>
    </row>
    <row r="3" spans="1:2" x14ac:dyDescent="0.25">
      <c r="A3" s="57">
        <f>VLOOKUP(2,'Spring Feed Budget'!A:B,2,0)</f>
        <v>42605</v>
      </c>
    </row>
    <row r="4" spans="1:2" x14ac:dyDescent="0.25">
      <c r="A4" s="57">
        <f>VLOOKUP(4,'Spring Feed Budget'!A:B,2,0)</f>
        <v>42628</v>
      </c>
    </row>
    <row r="5" spans="1:2" x14ac:dyDescent="0.25">
      <c r="A5" t="s">
        <v>120</v>
      </c>
    </row>
    <row r="6" spans="1:2" x14ac:dyDescent="0.25">
      <c r="A6" s="60">
        <f>'Spring Feed Budget'!Y17</f>
        <v>1.5</v>
      </c>
      <c r="B6" s="66">
        <f>'Spring Feed Budget'!AE17</f>
        <v>2500</v>
      </c>
    </row>
    <row r="7" spans="1:2" x14ac:dyDescent="0.25">
      <c r="A7" s="60">
        <f>'Spring Feed Budget'!Y18</f>
        <v>3.0159681983560169</v>
      </c>
      <c r="B7" s="66">
        <f ca="1">'Spring Feed Budget'!AE18</f>
        <v>2489.0666666666666</v>
      </c>
    </row>
    <row r="8" spans="1:2" x14ac:dyDescent="0.25">
      <c r="A8" s="60">
        <f>'Spring Feed Budget'!Y19</f>
        <v>4.5482482310446573</v>
      </c>
      <c r="B8" s="66">
        <f ca="1">'Spring Feed Budget'!AE19</f>
        <v>2477.56</v>
      </c>
    </row>
    <row r="9" spans="1:2" x14ac:dyDescent="0.25">
      <c r="A9" s="60">
        <f>'Spring Feed Budget'!Y20</f>
        <v>6.0971949472776181</v>
      </c>
      <c r="B9" s="66">
        <f ca="1">'Spring Feed Budget'!AE20</f>
        <v>2465.5466666666666</v>
      </c>
    </row>
    <row r="10" spans="1:2" x14ac:dyDescent="0.25">
      <c r="A10" s="60">
        <f>'Spring Feed Budget'!Y21</f>
        <v>7.6631749027341876</v>
      </c>
      <c r="B10" s="66">
        <f ca="1">'Spring Feed Budget'!AE21</f>
        <v>2452.5466666666666</v>
      </c>
    </row>
    <row r="11" spans="1:2" x14ac:dyDescent="0.25">
      <c r="A11" s="60">
        <f>'Spring Feed Budget'!Y22</f>
        <v>9.246566880214834</v>
      </c>
      <c r="B11" s="66">
        <f ca="1">'Spring Feed Budget'!AE22</f>
        <v>2438.9466666666667</v>
      </c>
    </row>
    <row r="12" spans="1:2" x14ac:dyDescent="0.25">
      <c r="A12" s="60">
        <f>'Spring Feed Budget'!Y23</f>
        <v>10.847762439565816</v>
      </c>
      <c r="B12" s="66">
        <f ca="1">'Spring Feed Budget'!AE23</f>
        <v>2424.7466666666669</v>
      </c>
    </row>
    <row r="13" spans="1:2" x14ac:dyDescent="0.25">
      <c r="A13" s="60">
        <f>'Spring Feed Budget'!Y24</f>
        <v>12.467166498871991</v>
      </c>
      <c r="B13" s="66">
        <f ca="1">'Spring Feed Budget'!AE24</f>
        <v>2410.0800000000004</v>
      </c>
    </row>
    <row r="14" spans="1:2" x14ac:dyDescent="0.25">
      <c r="A14" s="60">
        <f>'Spring Feed Budget'!Y25</f>
        <v>14.105197949075835</v>
      </c>
      <c r="B14" s="66">
        <f ca="1">'Spring Feed Budget'!AE25</f>
        <v>2394.9466666666672</v>
      </c>
    </row>
    <row r="15" spans="1:2" x14ac:dyDescent="0.25">
      <c r="A15" s="60">
        <f>'Spring Feed Budget'!Y26</f>
        <v>15.762290304356435</v>
      </c>
      <c r="B15" s="66">
        <f ca="1">'Spring Feed Budget'!AE26</f>
        <v>2378.213333333334</v>
      </c>
    </row>
    <row r="16" spans="1:2" x14ac:dyDescent="0.25">
      <c r="A16" s="60">
        <f>'Spring Feed Budget'!Y27</f>
        <v>17.438892390794585</v>
      </c>
      <c r="B16" s="66">
        <f ca="1">'Spring Feed Budget'!AE27</f>
        <v>2360.8800000000006</v>
      </c>
    </row>
    <row r="17" spans="1:2" x14ac:dyDescent="0.25">
      <c r="A17" s="60">
        <f>'Spring Feed Budget'!Y28</f>
        <v>19.135469076060758</v>
      </c>
      <c r="B17" s="66">
        <f ca="1">'Spring Feed Budget'!AE28</f>
        <v>2343.0133333333338</v>
      </c>
    </row>
    <row r="18" spans="1:2" x14ac:dyDescent="0.25">
      <c r="A18" s="60">
        <f>'Spring Feed Budget'!Y29</f>
        <v>20.852502043093725</v>
      </c>
      <c r="B18" s="66">
        <f ca="1">'Spring Feed Budget'!AE29</f>
        <v>2324.6133333333337</v>
      </c>
    </row>
    <row r="19" spans="1:2" x14ac:dyDescent="0.25">
      <c r="A19" s="60">
        <f>'Spring Feed Budget'!Y30</f>
        <v>22.590490610991143</v>
      </c>
      <c r="B19" s="66">
        <f ca="1">'Spring Feed Budget'!AE30</f>
        <v>2310.6800000000003</v>
      </c>
    </row>
    <row r="20" spans="1:2" x14ac:dyDescent="0.25">
      <c r="A20" s="60">
        <f>'Spring Feed Budget'!Y31</f>
        <v>24.349952606612035</v>
      </c>
      <c r="B20" s="66">
        <f ca="1">'Spring Feed Budget'!AE31</f>
        <v>2296.2133333333336</v>
      </c>
    </row>
    <row r="21" spans="1:2" x14ac:dyDescent="0.25">
      <c r="A21" s="60">
        <f>'Spring Feed Budget'!Y32</f>
        <v>26.131425290697543</v>
      </c>
      <c r="B21" s="66">
        <f ca="1">'Spring Feed Budget'!AE32</f>
        <v>2281.2133333333336</v>
      </c>
    </row>
    <row r="22" spans="1:2" x14ac:dyDescent="0.25">
      <c r="A22" s="60">
        <f>'Spring Feed Budget'!Y33</f>
        <v>27.935466342653925</v>
      </c>
      <c r="B22" s="66">
        <f ca="1">'Spring Feed Budget'!AE33</f>
        <v>2265.6800000000003</v>
      </c>
    </row>
    <row r="23" spans="1:2" x14ac:dyDescent="0.25">
      <c r="A23" s="60">
        <f>'Spring Feed Budget'!Y34</f>
        <v>29.76265490851392</v>
      </c>
      <c r="B23" s="66">
        <f ca="1">'Spring Feed Budget'!AE34</f>
        <v>2249.6133333333337</v>
      </c>
    </row>
    <row r="24" spans="1:2" x14ac:dyDescent="0.25">
      <c r="A24" s="60">
        <f>'Spring Feed Budget'!Y35</f>
        <v>31.613592717003552</v>
      </c>
      <c r="B24" s="66">
        <f ca="1">'Spring Feed Budget'!AE35</f>
        <v>2233.0133333333338</v>
      </c>
    </row>
    <row r="25" spans="1:2" x14ac:dyDescent="0.25">
      <c r="A25" s="60">
        <f>'Spring Feed Budget'!Y36</f>
        <v>33.488905269095568</v>
      </c>
      <c r="B25" s="66">
        <f ca="1">'Spring Feed Budget'!AE36</f>
        <v>2212.5466666666671</v>
      </c>
    </row>
    <row r="26" spans="1:2" x14ac:dyDescent="0.25">
      <c r="A26" s="60">
        <f>'Spring Feed Budget'!Y37</f>
        <v>35.389243106933407</v>
      </c>
      <c r="B26" s="66">
        <f ca="1">'Spring Feed Budget'!AE37</f>
        <v>2191.5466666666671</v>
      </c>
    </row>
    <row r="27" spans="1:2" x14ac:dyDescent="0.25">
      <c r="A27" s="60">
        <f>'Spring Feed Budget'!Y38</f>
        <v>37.315283168566687</v>
      </c>
      <c r="B27" s="66">
        <f ca="1">'Spring Feed Budget'!AE38</f>
        <v>2169.1800000000003</v>
      </c>
    </row>
    <row r="28" spans="1:2" x14ac:dyDescent="0.25">
      <c r="A28" s="60">
        <f>'Spring Feed Budget'!Y39</f>
        <v>39.267730235557309</v>
      </c>
      <c r="B28" s="66">
        <f ca="1">'Spring Feed Budget'!AE39</f>
        <v>2151.4133333333334</v>
      </c>
    </row>
    <row r="29" spans="1:2" x14ac:dyDescent="0.25">
      <c r="A29" s="60">
        <f>'Spring Feed Budget'!Y40</f>
        <v>41.247318481202214</v>
      </c>
      <c r="B29" s="66">
        <f ca="1">'Spring Feed Budget'!AE40</f>
        <v>2133.2466666666669</v>
      </c>
    </row>
    <row r="30" spans="1:2" x14ac:dyDescent="0.25">
      <c r="A30" s="60">
        <f>'Spring Feed Budget'!Y41</f>
        <v>43.254813127883153</v>
      </c>
      <c r="B30" s="66">
        <f ca="1">'Spring Feed Budget'!AE41</f>
        <v>2114.6800000000003</v>
      </c>
    </row>
    <row r="31" spans="1:2" x14ac:dyDescent="0.25">
      <c r="A31" s="60">
        <f>'Spring Feed Budget'!Y42</f>
        <v>45.291012222905771</v>
      </c>
      <c r="B31" s="66">
        <f ca="1">'Spring Feed Budget'!AE42</f>
        <v>2095.7133333333336</v>
      </c>
    </row>
    <row r="32" spans="1:2" x14ac:dyDescent="0.25">
      <c r="A32" s="60">
        <f>'Spring Feed Budget'!Y43</f>
        <v>47.356748543140803</v>
      </c>
      <c r="B32" s="66">
        <f ca="1">'Spring Feed Budget'!AE43</f>
        <v>2076.3466666666668</v>
      </c>
    </row>
    <row r="33" spans="1:2" x14ac:dyDescent="0.25">
      <c r="A33" s="60">
        <f>'Spring Feed Budget'!Y44</f>
        <v>49.452891639842868</v>
      </c>
      <c r="B33" s="66">
        <f ca="1">'Spring Feed Budget'!AE44</f>
        <v>2056.58</v>
      </c>
    </row>
    <row r="34" spans="1:2" x14ac:dyDescent="0.25">
      <c r="A34" s="60">
        <f>'Spring Feed Budget'!Y45</f>
        <v>51.580350036212003</v>
      </c>
      <c r="B34" s="66">
        <f ca="1">'Spring Feed Budget'!AE45</f>
        <v>2036.48</v>
      </c>
    </row>
    <row r="35" spans="1:2" x14ac:dyDescent="0.25">
      <c r="A35" s="60">
        <f>'Spring Feed Budget'!Y46</f>
        <v>53.740073591596911</v>
      </c>
      <c r="B35" s="66">
        <f ca="1">'Spring Feed Budget'!AE46</f>
        <v>2021.0466666666666</v>
      </c>
    </row>
    <row r="36" spans="1:2" x14ac:dyDescent="0.25">
      <c r="A36" s="60">
        <f>'Spring Feed Budget'!Y47</f>
        <v>55.933056047737253</v>
      </c>
      <c r="B36" s="66">
        <f ca="1">'Spring Feed Budget'!AE47</f>
        <v>2003.98</v>
      </c>
    </row>
    <row r="37" spans="1:2" x14ac:dyDescent="0.25">
      <c r="A37" s="60">
        <f>'Spring Feed Budget'!Y48</f>
        <v>58.16033777412806</v>
      </c>
      <c r="B37" s="66">
        <f ca="1">'Spring Feed Budget'!AE48</f>
        <v>1986.5466666666666</v>
      </c>
    </row>
    <row r="38" spans="1:2" x14ac:dyDescent="0.25">
      <c r="A38" s="60">
        <f>'Spring Feed Budget'!Y49</f>
        <v>60.423008731489276</v>
      </c>
      <c r="B38" s="66">
        <f ca="1">'Spring Feed Budget'!AE49</f>
        <v>1968.8133333333333</v>
      </c>
    </row>
    <row r="39" spans="1:2" x14ac:dyDescent="0.25">
      <c r="A39" s="60">
        <f>'Spring Feed Budget'!Y50</f>
        <v>62.722211674469037</v>
      </c>
      <c r="B39" s="66">
        <f ca="1">'Spring Feed Budget'!AE50</f>
        <v>1947.4466666666667</v>
      </c>
    </row>
    <row r="40" spans="1:2" x14ac:dyDescent="0.25">
      <c r="A40" s="60">
        <f>'Spring Feed Budget'!Y51</f>
        <v>65.059145617136252</v>
      </c>
      <c r="B40" s="66">
        <f ca="1">'Spring Feed Budget'!AE51</f>
        <v>1925.78</v>
      </c>
    </row>
    <row r="41" spans="1:2" x14ac:dyDescent="0.25">
      <c r="A41" s="60">
        <f>'Spring Feed Budget'!Y52</f>
        <v>67.435069587569188</v>
      </c>
      <c r="B41" s="66">
        <f ca="1">'Spring Feed Budget'!AE52</f>
        <v>1903.8133333333333</v>
      </c>
    </row>
    <row r="42" spans="1:2" x14ac:dyDescent="0.25">
      <c r="A42" s="60">
        <f>'Spring Feed Budget'!Y53</f>
        <v>69.851306700971236</v>
      </c>
      <c r="B42" s="66">
        <f ca="1">'Spring Feed Budget'!AE53</f>
        <v>1881.5466666666666</v>
      </c>
    </row>
    <row r="43" spans="1:2" x14ac:dyDescent="0.25">
      <c r="A43" s="60">
        <f>'Spring Feed Budget'!Y54</f>
        <v>72.309248584300917</v>
      </c>
      <c r="B43" s="66">
        <f ca="1">'Spring Feed Budget'!AE54</f>
        <v>1863.98</v>
      </c>
    </row>
    <row r="44" spans="1:2" x14ac:dyDescent="0.25">
      <c r="A44" s="60">
        <f>'Spring Feed Budget'!Y55</f>
        <v>74.810360189458763</v>
      </c>
      <c r="B44" s="66">
        <f ca="1">'Spring Feed Budget'!AE55</f>
        <v>1846.1133333333335</v>
      </c>
    </row>
    <row r="45" spans="1:2" x14ac:dyDescent="0.25">
      <c r="A45" s="60">
        <f>'Spring Feed Budget'!Y56</f>
        <v>77.356185036709263</v>
      </c>
      <c r="B45" s="66">
        <f ca="1">'Spring Feed Budget'!AE56</f>
        <v>1827.9466666666667</v>
      </c>
    </row>
    <row r="46" spans="1:2" x14ac:dyDescent="0.25">
      <c r="A46" s="60">
        <f>'Spring Feed Budget'!Y57</f>
        <v>79.948350935326772</v>
      </c>
      <c r="B46" s="66">
        <f ca="1">'Spring Feed Budget'!AE57</f>
        <v>1809.48</v>
      </c>
    </row>
    <row r="47" spans="1:2" x14ac:dyDescent="0.25">
      <c r="A47" s="60">
        <f>'Spring Feed Budget'!Y58</f>
        <v>82.588576234552292</v>
      </c>
      <c r="B47" s="66">
        <f ca="1">'Spring Feed Budget'!AE58</f>
        <v>1790.7133333333334</v>
      </c>
    </row>
    <row r="48" spans="1:2" x14ac:dyDescent="0.25">
      <c r="A48" s="60">
        <f>'Spring Feed Budget'!Y59</f>
        <v>85.278676664968359</v>
      </c>
      <c r="B48" s="66">
        <f ca="1">'Spring Feed Budget'!AE59</f>
        <v>1771.6466666666668</v>
      </c>
    </row>
    <row r="49" spans="1:2" x14ac:dyDescent="0.25">
      <c r="A49" s="60">
        <f>'Spring Feed Budget'!Y60</f>
        <v>88.020572838499916</v>
      </c>
      <c r="B49" s="66">
        <f ca="1">'Spring Feed Budget'!AE60</f>
        <v>1752.2800000000002</v>
      </c>
    </row>
    <row r="50" spans="1:2" x14ac:dyDescent="0.25">
      <c r="A50" s="60">
        <f>'Spring Feed Budget'!Y61</f>
        <v>90.816298484623161</v>
      </c>
      <c r="B50" s="66">
        <f ca="1">'Spring Feed Budget'!AE61</f>
        <v>1732.6133333333335</v>
      </c>
    </row>
    <row r="51" spans="1:2" x14ac:dyDescent="0.25">
      <c r="A51" s="60">
        <f>'Spring Feed Budget'!Y62</f>
        <v>93.66800951123912</v>
      </c>
      <c r="B51" s="66">
        <f ca="1">'Spring Feed Budget'!AE62</f>
        <v>1712.6466666666668</v>
      </c>
    </row>
    <row r="52" spans="1:2" x14ac:dyDescent="0.25">
      <c r="A52" s="60">
        <f>'Spring Feed Budget'!Y63</f>
        <v>96.577993991321875</v>
      </c>
      <c r="B52" s="66">
        <f ca="1">'Spring Feed Budget'!AE63</f>
        <v>1692.38</v>
      </c>
    </row>
    <row r="53" spans="1:2" x14ac:dyDescent="0.25">
      <c r="A53" s="60">
        <f>'Spring Feed Budget'!Y64</f>
        <v>99.548683191216242</v>
      </c>
      <c r="B53" s="66">
        <f ca="1">'Spring Feed Budget'!AE64</f>
        <v>1676.8133333333335</v>
      </c>
    </row>
    <row r="54" spans="1:2" x14ac:dyDescent="0.25">
      <c r="A54" s="60">
        <f>'Spring Feed Budget'!Y65</f>
        <v>102.58266377374051</v>
      </c>
      <c r="B54" s="66">
        <f ca="1">'Spring Feed Budget'!AE65</f>
        <v>1660.9466666666669</v>
      </c>
    </row>
    <row r="55" spans="1:2" x14ac:dyDescent="0.25">
      <c r="A55" s="60">
        <f>'Spring Feed Budget'!Y66</f>
        <v>105.68269132954099</v>
      </c>
      <c r="B55" s="66">
        <f ca="1">'Spring Feed Budget'!AE66</f>
        <v>1644.7800000000002</v>
      </c>
    </row>
    <row r="56" spans="1:2" x14ac:dyDescent="0.25">
      <c r="A56" s="60">
        <f>'Spring Feed Budget'!Y67</f>
        <v>108.85170541404801</v>
      </c>
      <c r="B56" s="66">
        <f ca="1">'Spring Feed Budget'!AE67</f>
        <v>1628.3133333333335</v>
      </c>
    </row>
    <row r="57" spans="1:2" x14ac:dyDescent="0.25">
      <c r="A57" s="60">
        <f>'Spring Feed Budget'!Y68</f>
        <v>112.09284629563832</v>
      </c>
      <c r="B57" s="66">
        <f ca="1">'Spring Feed Budget'!AE68</f>
        <v>1611.5466666666669</v>
      </c>
    </row>
    <row r="58" spans="1:2" x14ac:dyDescent="0.25">
      <c r="A58" s="60">
        <f>'Spring Feed Budget'!Y69</f>
        <v>115.40947365412887</v>
      </c>
      <c r="B58" s="66">
        <f ca="1">'Spring Feed Budget'!AE69</f>
        <v>1596.1133333333335</v>
      </c>
    </row>
    <row r="59" spans="1:2" x14ac:dyDescent="0.25">
      <c r="A59" s="60">
        <f>'Spring Feed Budget'!Y70</f>
        <v>118.80518750864138</v>
      </c>
      <c r="B59" s="66">
        <f ca="1">'Spring Feed Budget'!AE70</f>
        <v>1580.3466666666668</v>
      </c>
    </row>
    <row r="60" spans="1:2" x14ac:dyDescent="0.25">
      <c r="A60" s="60">
        <f>'Spring Feed Budget'!Y71</f>
        <v>122.28385170159127</v>
      </c>
      <c r="B60" s="66">
        <f ca="1">'Spring Feed Budget'!AE71</f>
        <v>1564.2466666666669</v>
      </c>
    </row>
    <row r="61" spans="1:2" x14ac:dyDescent="0.25">
      <c r="A61" s="60">
        <f>'Spring Feed Budget'!Y72</f>
        <v>125.84962032282739</v>
      </c>
      <c r="B61" s="66">
        <f ca="1">'Spring Feed Budget'!AE72</f>
        <v>1547.8133333333335</v>
      </c>
    </row>
    <row r="62" spans="1:2" x14ac:dyDescent="0.25">
      <c r="A62" s="60">
        <f>'Spring Feed Budget'!Y73</f>
        <v>129.50696752698863</v>
      </c>
      <c r="B62" s="66">
        <f ca="1">'Spring Feed Budget'!AE73</f>
        <v>1531.0466666666669</v>
      </c>
    </row>
    <row r="63" spans="1:2" x14ac:dyDescent="0.25">
      <c r="A63" s="60">
        <f>'Spring Feed Budget'!Y74</f>
        <v>133.26072128074236</v>
      </c>
      <c r="B63" s="66">
        <f ca="1">'Spring Feed Budget'!AE74</f>
        <v>1513.9466666666669</v>
      </c>
    </row>
    <row r="64" spans="1:2" x14ac:dyDescent="0.25">
      <c r="A64" s="60">
        <f>'Spring Feed Budget'!Y75</f>
        <v>137.1161016782749</v>
      </c>
      <c r="B64" s="66">
        <f ca="1">'Spring Feed Budget'!AE75</f>
        <v>1496.5133333333335</v>
      </c>
    </row>
    <row r="65" spans="1:2" x14ac:dyDescent="0.25">
      <c r="A65" s="60">
        <f>'Spring Feed Budget'!Y76</f>
        <v>141.07876458775004</v>
      </c>
      <c r="B65" s="66">
        <f ca="1">'Spring Feed Budget'!AE76</f>
        <v>1478.9133333333336</v>
      </c>
    </row>
    <row r="66" spans="1:2" x14ac:dyDescent="0.25">
      <c r="A66" s="60">
        <f>'Spring Feed Budget'!Y77</f>
        <v>145.15485154427176</v>
      </c>
      <c r="B66" s="66">
        <f ca="1">'Spring Feed Budget'!AE77</f>
        <v>1466.146666666667</v>
      </c>
    </row>
    <row r="67" spans="1:2" x14ac:dyDescent="0.25">
      <c r="A67" s="60">
        <f>'Spring Feed Budget'!Y78</f>
        <v>149.3510469937309</v>
      </c>
      <c r="B67" s="66">
        <f ca="1">'Spring Feed Budget'!AE78</f>
        <v>1453.2133333333336</v>
      </c>
    </row>
    <row r="68" spans="1:2" x14ac:dyDescent="0.25">
      <c r="A68" s="60">
        <f>'Spring Feed Budget'!Y79</f>
        <v>153.67464422662866</v>
      </c>
      <c r="B68" s="66">
        <f ca="1">'Spring Feed Budget'!AE79</f>
        <v>1440.1133333333337</v>
      </c>
    </row>
    <row r="69" spans="1:2" x14ac:dyDescent="0.25">
      <c r="A69" s="60">
        <f>'Spring Feed Budget'!Y80</f>
        <v>158.13362163447644</v>
      </c>
      <c r="B69" s="66">
        <f ca="1">'Spring Feed Budget'!AE80</f>
        <v>1426.846666666667</v>
      </c>
    </row>
    <row r="70" spans="1:2" x14ac:dyDescent="0.25">
      <c r="A70" s="60">
        <f>'Spring Feed Budget'!Y81</f>
        <v>162.73673129077756</v>
      </c>
      <c r="B70" s="66">
        <f ca="1">'Spring Feed Budget'!AE81</f>
        <v>1413.4133333333336</v>
      </c>
    </row>
    <row r="71" spans="1:2" x14ac:dyDescent="0.25">
      <c r="A71" s="60">
        <f>'Spring Feed Budget'!Y82</f>
        <v>167.49360232671833</v>
      </c>
      <c r="B71" s="66">
        <f ca="1">'Spring Feed Budget'!AE82</f>
        <v>1399.8133333333337</v>
      </c>
    </row>
    <row r="72" spans="1:2" x14ac:dyDescent="0.25">
      <c r="A72" s="60">
        <f>'Spring Feed Budget'!Y83</f>
        <v>172.41486216923798</v>
      </c>
      <c r="B72" s="66">
        <f ca="1">'Spring Feed Budget'!AE83</f>
        <v>1386.1133333333337</v>
      </c>
    </row>
    <row r="73" spans="1:2" x14ac:dyDescent="0.25">
      <c r="A73" s="60">
        <f>'Spring Feed Budget'!Y84</f>
        <v>177.5122794778016</v>
      </c>
      <c r="B73" s="66">
        <f ca="1">'Spring Feed Budget'!AE84</f>
        <v>1372.3133333333337</v>
      </c>
    </row>
    <row r="74" spans="1:2" x14ac:dyDescent="0.25">
      <c r="A74" s="60">
        <f>'Spring Feed Budget'!Y85</f>
        <v>182.79893361313992</v>
      </c>
      <c r="B74" s="66">
        <f ca="1">'Spring Feed Budget'!AE85</f>
        <v>1363.4133333333336</v>
      </c>
    </row>
    <row r="75" spans="1:2" x14ac:dyDescent="0.25">
      <c r="A75" s="60">
        <f>'Spring Feed Budget'!Y86</f>
        <v>188.2894167756582</v>
      </c>
      <c r="B75" s="66">
        <f ca="1">'Spring Feed Budget'!AE86</f>
        <v>1354.4133333333336</v>
      </c>
    </row>
    <row r="76" spans="1:2" x14ac:dyDescent="0.25">
      <c r="A76" s="60">
        <f>'Spring Feed Budget'!Y87</f>
        <v>194.00007667413533</v>
      </c>
      <c r="B76" s="66">
        <f ca="1">'Spring Feed Budget'!AE87</f>
        <v>1341.4800000000002</v>
      </c>
    </row>
    <row r="77" spans="1:2" x14ac:dyDescent="0.25">
      <c r="A77" s="60">
        <f>'Spring Feed Budget'!Y88</f>
        <v>199.94930988407711</v>
      </c>
      <c r="B77" s="66">
        <f ca="1">'Spring Feed Budget'!AE88</f>
        <v>1328.5466666666669</v>
      </c>
    </row>
    <row r="78" spans="1:2" x14ac:dyDescent="0.25">
      <c r="A78" s="60">
        <f>'Spring Feed Budget'!Y89</f>
        <v>206.15791915560024</v>
      </c>
      <c r="B78" s="66">
        <f ca="1">'Spring Feed Budget'!AE89</f>
        <v>1315.6133333333335</v>
      </c>
    </row>
    <row r="79" spans="1:2" x14ac:dyDescent="0.25">
      <c r="A79" s="60">
        <f>'Spring Feed Budget'!Y90</f>
        <v>212.64955216194758</v>
      </c>
      <c r="B79" s="66">
        <f ca="1">'Spring Feed Budget'!AE90</f>
        <v>1307.68</v>
      </c>
    </row>
    <row r="80" spans="1:2" x14ac:dyDescent="0.25">
      <c r="A80" s="60">
        <f>'Spring Feed Budget'!Y91</f>
        <v>219.45124502772745</v>
      </c>
      <c r="B80" s="66">
        <f ca="1">'Spring Feed Budget'!AE91</f>
        <v>1299.7466666666667</v>
      </c>
    </row>
    <row r="81" spans="1:2" x14ac:dyDescent="0.25">
      <c r="A81" s="60">
        <f>'Spring Feed Budget'!Y92</f>
        <v>226.59410217058453</v>
      </c>
      <c r="B81" s="66">
        <f ca="1">'Spring Feed Budget'!AE92</f>
        <v>1291.8133333333333</v>
      </c>
    </row>
    <row r="82" spans="1:2" x14ac:dyDescent="0.25">
      <c r="A82" s="60">
        <f>'Spring Feed Budget'!Y93</f>
        <v>233.73695931344167</v>
      </c>
      <c r="B82" s="66">
        <f ca="1">'Spring Feed Budget'!AE93</f>
        <v>1283.8799999999999</v>
      </c>
    </row>
    <row r="83" spans="1:2" x14ac:dyDescent="0.25">
      <c r="A83" s="60">
        <f>'Spring Feed Budget'!Y94</f>
        <v>240.87981645629881</v>
      </c>
      <c r="B83" s="66">
        <f ca="1">'Spring Feed Budget'!AE94</f>
        <v>1275.9466666666665</v>
      </c>
    </row>
    <row r="84" spans="1:2" x14ac:dyDescent="0.25">
      <c r="A84" s="60">
        <f>'Spring Feed Budget'!Y95</f>
        <v>248.02267359915595</v>
      </c>
      <c r="B84" s="66">
        <f ca="1">'Spring Feed Budget'!AE95</f>
        <v>1268.0133333333331</v>
      </c>
    </row>
    <row r="85" spans="1:2" x14ac:dyDescent="0.25">
      <c r="A85" s="60">
        <f>'Spring Feed Budget'!Y96</f>
        <v>255.16553074201309</v>
      </c>
      <c r="B85" s="66">
        <f ca="1">'Spring Feed Budget'!AE96</f>
        <v>1265.0799999999997</v>
      </c>
    </row>
    <row r="86" spans="1:2" x14ac:dyDescent="0.25">
      <c r="A86" s="60">
        <f>'Spring Feed Budget'!Y97</f>
        <v>262.30838788487023</v>
      </c>
      <c r="B86" s="66">
        <f ca="1">'Spring Feed Budget'!AE97</f>
        <v>1262.1466666666663</v>
      </c>
    </row>
    <row r="87" spans="1:2" x14ac:dyDescent="0.25">
      <c r="A87" s="60">
        <f>'Spring Feed Budget'!Y98</f>
        <v>269.4512450277274</v>
      </c>
      <c r="B87" s="66">
        <f ca="1">'Spring Feed Budget'!AE98</f>
        <v>1259.2133333333329</v>
      </c>
    </row>
    <row r="88" spans="1:2" x14ac:dyDescent="0.25">
      <c r="A88" s="60">
        <f>'Spring Feed Budget'!Y99</f>
        <v>276.59410217058456</v>
      </c>
      <c r="B88" s="66">
        <f ca="1">'Spring Feed Budget'!AE99</f>
        <v>1256.2799999999995</v>
      </c>
    </row>
    <row r="89" spans="1:2" x14ac:dyDescent="0.25">
      <c r="A89" s="60">
        <f>'Spring Feed Budget'!Y100</f>
        <v>283.73695931344173</v>
      </c>
      <c r="B89" s="66">
        <f ca="1">'Spring Feed Budget'!AE100</f>
        <v>1253.3466666666661</v>
      </c>
    </row>
    <row r="90" spans="1:2" x14ac:dyDescent="0.25">
      <c r="A90" s="60">
        <f>'Spring Feed Budget'!Y101</f>
        <v>290.8798164562989</v>
      </c>
      <c r="B90" s="66">
        <f ca="1">'Spring Feed Budget'!AE101</f>
        <v>1250.4133333333327</v>
      </c>
    </row>
    <row r="91" spans="1:2" x14ac:dyDescent="0.25">
      <c r="A91" s="60">
        <f>'Spring Feed Budget'!Y102</f>
        <v>298.02267359915606</v>
      </c>
      <c r="B91" s="66">
        <f ca="1">'Spring Feed Budget'!AE102</f>
        <v>1247.4799999999993</v>
      </c>
    </row>
    <row r="92" spans="1:2" x14ac:dyDescent="0.25">
      <c r="A92" s="60">
        <f>'Spring Feed Budget'!Y103</f>
        <v>305.16553074201323</v>
      </c>
      <c r="B92" s="66">
        <f ca="1">'Spring Feed Budget'!AE103</f>
        <v>1244.5466666666659</v>
      </c>
    </row>
    <row r="93" spans="1:2" x14ac:dyDescent="0.25">
      <c r="A93" s="60">
        <f>'Spring Feed Budget'!Y104</f>
        <v>312.3083878848704</v>
      </c>
      <c r="B93" s="66">
        <f ca="1">'Spring Feed Budget'!AE104</f>
        <v>1246.6133333333325</v>
      </c>
    </row>
    <row r="94" spans="1:2" x14ac:dyDescent="0.25">
      <c r="A94" s="60">
        <f>'Spring Feed Budget'!Y105</f>
        <v>319.45124502772757</v>
      </c>
      <c r="B94" s="66">
        <f ca="1">'Spring Feed Budget'!AE105</f>
        <v>1248.6799999999992</v>
      </c>
    </row>
    <row r="95" spans="1:2" x14ac:dyDescent="0.25">
      <c r="A95" s="60">
        <f>'Spring Feed Budget'!Y106</f>
        <v>326.59410217058473</v>
      </c>
      <c r="B95" s="66">
        <f ca="1">'Spring Feed Budget'!AE106</f>
        <v>1250.7466666666658</v>
      </c>
    </row>
    <row r="96" spans="1:2" x14ac:dyDescent="0.25">
      <c r="A96" s="60">
        <f>'Spring Feed Budget'!Y107</f>
        <v>333.7369593134419</v>
      </c>
      <c r="B96" s="66">
        <f ca="1">'Spring Feed Budget'!AE107</f>
        <v>1252.8133333333324</v>
      </c>
    </row>
    <row r="97" spans="1:2" x14ac:dyDescent="0.25">
      <c r="A97" s="60">
        <f>'Spring Feed Budget'!Y108</f>
        <v>340.87981645629907</v>
      </c>
      <c r="B97" s="66">
        <f ca="1">'Spring Feed Budget'!AE108</f>
        <v>1259.879999999999</v>
      </c>
    </row>
    <row r="98" spans="1:2" x14ac:dyDescent="0.25">
      <c r="A98" s="60">
        <f>'Spring Feed Budget'!Y109</f>
        <v>348.02267359915624</v>
      </c>
      <c r="B98" s="66">
        <f ca="1">'Spring Feed Budget'!AE109</f>
        <v>1266.9466666666656</v>
      </c>
    </row>
    <row r="99" spans="1:2" x14ac:dyDescent="0.25">
      <c r="A99" s="24"/>
    </row>
    <row r="100" spans="1:2" x14ac:dyDescent="0.25">
      <c r="A100" s="24"/>
    </row>
    <row r="101" spans="1:2" x14ac:dyDescent="0.25">
      <c r="A101" s="24"/>
    </row>
    <row r="102" spans="1:2" x14ac:dyDescent="0.25">
      <c r="A102" s="24"/>
    </row>
    <row r="103" spans="1:2" x14ac:dyDescent="0.25">
      <c r="A103" s="24"/>
    </row>
    <row r="104" spans="1:2" x14ac:dyDescent="0.25">
      <c r="A104" s="24"/>
    </row>
    <row r="105" spans="1:2" x14ac:dyDescent="0.25">
      <c r="A105" s="24"/>
    </row>
    <row r="106" spans="1:2" x14ac:dyDescent="0.25">
      <c r="A106" s="24"/>
    </row>
    <row r="107" spans="1:2" x14ac:dyDescent="0.25">
      <c r="A107" s="24"/>
    </row>
    <row r="108" spans="1:2" x14ac:dyDescent="0.25">
      <c r="A108" s="24"/>
    </row>
    <row r="109" spans="1:2" x14ac:dyDescent="0.25">
      <c r="A109" s="24"/>
    </row>
    <row r="110" spans="1:2" x14ac:dyDescent="0.25">
      <c r="A110" s="24"/>
    </row>
    <row r="111" spans="1:2" x14ac:dyDescent="0.25">
      <c r="A111" s="24"/>
    </row>
    <row r="112" spans="1:2" x14ac:dyDescent="0.25">
      <c r="A112" s="24"/>
    </row>
    <row r="113" spans="1:1" x14ac:dyDescent="0.25">
      <c r="A113" s="24"/>
    </row>
    <row r="114" spans="1:1" x14ac:dyDescent="0.25">
      <c r="A114" s="24"/>
    </row>
    <row r="115" spans="1:1" x14ac:dyDescent="0.25">
      <c r="A115" s="24"/>
    </row>
    <row r="116" spans="1:1" x14ac:dyDescent="0.25">
      <c r="A116" s="24"/>
    </row>
    <row r="117" spans="1:1" x14ac:dyDescent="0.25">
      <c r="A117" s="24"/>
    </row>
    <row r="118" spans="1:1" x14ac:dyDescent="0.25">
      <c r="A118" s="24"/>
    </row>
    <row r="119" spans="1:1" x14ac:dyDescent="0.25">
      <c r="A119" s="24"/>
    </row>
    <row r="120" spans="1:1" x14ac:dyDescent="0.25">
      <c r="A120" s="24"/>
    </row>
    <row r="121" spans="1:1" x14ac:dyDescent="0.25">
      <c r="A121" s="24"/>
    </row>
    <row r="122" spans="1:1" x14ac:dyDescent="0.25">
      <c r="A122" s="24"/>
    </row>
    <row r="123" spans="1:1" x14ac:dyDescent="0.25">
      <c r="A123" s="24"/>
    </row>
  </sheetData>
  <sheetCalcPr fullCalcOnLoa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sheetPr>
  <dimension ref="A1:G82"/>
  <sheetViews>
    <sheetView showGridLines="0" zoomScale="90" zoomScaleNormal="90" workbookViewId="0">
      <selection activeCell="B17" sqref="B17"/>
    </sheetView>
  </sheetViews>
  <sheetFormatPr defaultRowHeight="12.75" x14ac:dyDescent="0.2"/>
  <cols>
    <col min="1" max="1" width="4.85546875" style="1" customWidth="1"/>
    <col min="2" max="2" width="28.140625" style="1" customWidth="1"/>
    <col min="3" max="3" width="45.28515625" style="1" customWidth="1"/>
    <col min="4" max="4" width="9.140625" style="1"/>
    <col min="5" max="5" width="14" style="1" customWidth="1"/>
    <col min="6" max="6" width="4.85546875" style="1" customWidth="1"/>
    <col min="7" max="7" width="23.28515625" style="1" customWidth="1"/>
    <col min="8" max="16384" width="9.140625" style="1"/>
  </cols>
  <sheetData>
    <row r="1" spans="1:7" ht="51.75" customHeight="1" x14ac:dyDescent="0.2">
      <c r="A1" s="407" t="s">
        <v>46</v>
      </c>
      <c r="B1" s="407"/>
      <c r="C1" s="407"/>
      <c r="D1" s="407"/>
      <c r="E1" s="407"/>
      <c r="F1" s="407"/>
      <c r="G1" s="407"/>
    </row>
    <row r="2" spans="1:7" s="339" customFormat="1" ht="27" customHeight="1" x14ac:dyDescent="0.25">
      <c r="A2" s="340" t="s">
        <v>57</v>
      </c>
      <c r="B2" s="338"/>
      <c r="C2" s="338"/>
      <c r="D2" s="338"/>
      <c r="E2" s="338"/>
      <c r="F2" s="338"/>
      <c r="G2" s="338"/>
    </row>
    <row r="3" spans="1:7" s="6" customFormat="1" ht="6" customHeight="1" x14ac:dyDescent="0.3">
      <c r="A3" s="5"/>
    </row>
    <row r="4" spans="1:7" x14ac:dyDescent="0.2">
      <c r="A4" s="6"/>
      <c r="B4" s="6" t="s">
        <v>84</v>
      </c>
      <c r="C4" s="6"/>
      <c r="D4" s="6"/>
      <c r="E4" s="6"/>
      <c r="F4" s="6"/>
      <c r="G4" s="6"/>
    </row>
    <row r="5" spans="1:7" s="47" customFormat="1" x14ac:dyDescent="0.2">
      <c r="A5" s="6"/>
      <c r="B5" s="6" t="s">
        <v>85</v>
      </c>
      <c r="C5" s="6"/>
      <c r="D5" s="6"/>
      <c r="E5" s="6"/>
      <c r="F5" s="6"/>
      <c r="G5" s="6"/>
    </row>
    <row r="6" spans="1:7" x14ac:dyDescent="0.2">
      <c r="A6" s="6"/>
      <c r="B6" s="6" t="s">
        <v>47</v>
      </c>
      <c r="C6" s="6"/>
      <c r="D6" s="6"/>
      <c r="E6" s="6"/>
      <c r="F6" s="6"/>
      <c r="G6" s="6"/>
    </row>
    <row r="7" spans="1:7" x14ac:dyDescent="0.2">
      <c r="A7" s="6"/>
      <c r="B7" s="13" t="s">
        <v>86</v>
      </c>
      <c r="C7" s="6"/>
      <c r="D7" s="6"/>
      <c r="E7" s="6"/>
      <c r="F7" s="6"/>
      <c r="G7" s="6"/>
    </row>
    <row r="8" spans="1:7" x14ac:dyDescent="0.2">
      <c r="A8" s="6"/>
      <c r="B8" s="13" t="s">
        <v>19</v>
      </c>
      <c r="C8" s="6"/>
      <c r="D8" s="6"/>
      <c r="E8" s="6"/>
      <c r="F8" s="6"/>
      <c r="G8" s="6"/>
    </row>
    <row r="9" spans="1:7" x14ac:dyDescent="0.2">
      <c r="A9" s="6"/>
      <c r="B9" s="13" t="s">
        <v>48</v>
      </c>
      <c r="C9" s="6"/>
      <c r="D9" s="6"/>
      <c r="E9" s="6"/>
      <c r="F9" s="6"/>
      <c r="G9" s="6"/>
    </row>
    <row r="10" spans="1:7" ht="20.25" customHeight="1" x14ac:dyDescent="0.2">
      <c r="A10" s="6"/>
      <c r="B10" s="15" t="s">
        <v>49</v>
      </c>
      <c r="C10" s="6"/>
      <c r="D10" s="6"/>
      <c r="E10" s="6"/>
      <c r="F10" s="6"/>
      <c r="G10" s="6"/>
    </row>
    <row r="11" spans="1:7" s="47" customFormat="1" x14ac:dyDescent="0.2">
      <c r="A11" s="6"/>
      <c r="B11" s="56" t="s">
        <v>93</v>
      </c>
      <c r="C11" s="33"/>
      <c r="D11" s="33"/>
      <c r="E11" s="6"/>
      <c r="F11" s="6"/>
      <c r="G11" s="6"/>
    </row>
    <row r="12" spans="1:7" s="47" customFormat="1" x14ac:dyDescent="0.2">
      <c r="A12" s="6"/>
      <c r="B12" s="56"/>
      <c r="C12" s="33" t="s">
        <v>90</v>
      </c>
      <c r="D12" s="33"/>
      <c r="E12" s="6"/>
      <c r="F12" s="6"/>
      <c r="G12" s="6"/>
    </row>
    <row r="13" spans="1:7" s="47" customFormat="1" x14ac:dyDescent="0.2">
      <c r="A13" s="6"/>
      <c r="B13" s="56"/>
      <c r="C13" s="33" t="s">
        <v>91</v>
      </c>
      <c r="D13" s="33"/>
      <c r="E13" s="6"/>
      <c r="F13" s="6"/>
      <c r="G13" s="6"/>
    </row>
    <row r="14" spans="1:7" s="47" customFormat="1" x14ac:dyDescent="0.2">
      <c r="A14" s="6"/>
      <c r="B14" s="15"/>
      <c r="C14" s="33" t="s">
        <v>92</v>
      </c>
      <c r="D14" s="6"/>
      <c r="E14" s="6"/>
      <c r="F14" s="6"/>
      <c r="G14" s="6"/>
    </row>
    <row r="15" spans="1:7" s="47" customFormat="1" ht="9" customHeight="1" x14ac:dyDescent="0.2">
      <c r="A15" s="6"/>
      <c r="B15" s="15"/>
      <c r="C15" s="33"/>
      <c r="D15" s="6"/>
      <c r="E15" s="6"/>
      <c r="F15" s="6"/>
      <c r="G15" s="6"/>
    </row>
    <row r="16" spans="1:7" x14ac:dyDescent="0.2">
      <c r="A16" s="7" t="s">
        <v>12</v>
      </c>
      <c r="B16" s="16"/>
      <c r="C16" s="7"/>
      <c r="D16" s="7"/>
      <c r="E16" s="7"/>
      <c r="F16" s="7"/>
      <c r="G16" s="7"/>
    </row>
    <row r="17" spans="1:7" s="6" customFormat="1" ht="9.75" customHeight="1" x14ac:dyDescent="0.2">
      <c r="A17" s="33"/>
      <c r="B17" s="34"/>
      <c r="C17" s="33"/>
      <c r="D17" s="33"/>
      <c r="E17" s="33"/>
      <c r="F17" s="33"/>
      <c r="G17" s="33"/>
    </row>
    <row r="18" spans="1:7" s="6" customFormat="1" ht="20.25" customHeight="1" x14ac:dyDescent="0.2">
      <c r="A18" s="33"/>
      <c r="B18" s="34"/>
      <c r="C18" s="33"/>
      <c r="D18" s="33"/>
      <c r="E18" s="33"/>
      <c r="F18" s="33"/>
      <c r="G18" s="33"/>
    </row>
    <row r="19" spans="1:7" ht="20.25" customHeight="1" x14ac:dyDescent="0.2">
      <c r="A19" s="33"/>
      <c r="B19" s="34"/>
      <c r="C19" s="33"/>
      <c r="D19" s="33"/>
      <c r="E19" s="33"/>
      <c r="F19" s="33"/>
      <c r="G19" s="33"/>
    </row>
    <row r="20" spans="1:7" ht="20.25" customHeight="1" x14ac:dyDescent="0.2">
      <c r="A20" s="33"/>
      <c r="B20" s="34"/>
      <c r="C20" s="33"/>
      <c r="D20" s="33"/>
      <c r="E20" s="33"/>
      <c r="F20" s="33"/>
      <c r="G20" s="33"/>
    </row>
    <row r="21" spans="1:7" ht="20.25" customHeight="1" x14ac:dyDescent="0.2">
      <c r="A21" s="33"/>
      <c r="B21" s="34"/>
      <c r="C21" s="33"/>
      <c r="D21" s="33"/>
      <c r="E21" s="33"/>
      <c r="F21" s="33"/>
      <c r="G21" s="33"/>
    </row>
    <row r="22" spans="1:7" ht="20.25" customHeight="1" x14ac:dyDescent="0.2">
      <c r="A22" s="33"/>
      <c r="B22" s="34"/>
      <c r="C22" s="33"/>
      <c r="D22" s="33"/>
      <c r="E22" s="33"/>
      <c r="F22" s="33"/>
      <c r="G22" s="33"/>
    </row>
    <row r="23" spans="1:7" ht="20.25" customHeight="1" x14ac:dyDescent="0.2">
      <c r="A23" s="33"/>
      <c r="B23" s="34"/>
      <c r="C23" s="33"/>
      <c r="D23" s="33"/>
      <c r="E23" s="33"/>
      <c r="F23" s="33"/>
      <c r="G23" s="33"/>
    </row>
    <row r="24" spans="1:7" ht="20.25" customHeight="1" x14ac:dyDescent="0.2">
      <c r="A24" s="33"/>
      <c r="B24" s="34"/>
      <c r="C24" s="33"/>
      <c r="D24" s="33"/>
      <c r="E24" s="33"/>
      <c r="F24" s="33"/>
      <c r="G24" s="33"/>
    </row>
    <row r="25" spans="1:7" ht="20.25" customHeight="1" x14ac:dyDescent="0.2">
      <c r="A25" s="33"/>
      <c r="B25" s="34"/>
      <c r="C25" s="33"/>
      <c r="D25" s="33"/>
      <c r="E25" s="33"/>
      <c r="F25" s="33"/>
      <c r="G25" s="33"/>
    </row>
    <row r="26" spans="1:7" ht="20.25" customHeight="1" x14ac:dyDescent="0.2">
      <c r="A26" s="33"/>
      <c r="B26" s="34"/>
      <c r="C26" s="33"/>
      <c r="D26" s="33"/>
      <c r="E26" s="33"/>
      <c r="F26" s="33"/>
      <c r="G26" s="33"/>
    </row>
    <row r="27" spans="1:7" ht="20.25" customHeight="1" x14ac:dyDescent="0.2">
      <c r="A27" s="33"/>
      <c r="B27" s="34"/>
      <c r="C27" s="33"/>
      <c r="D27" s="33"/>
      <c r="E27" s="33"/>
      <c r="F27" s="33"/>
      <c r="G27" s="33"/>
    </row>
    <row r="28" spans="1:7" ht="14.25" customHeight="1" x14ac:dyDescent="0.2">
      <c r="A28" s="6"/>
      <c r="B28" s="34" t="s">
        <v>52</v>
      </c>
      <c r="C28" s="6"/>
      <c r="D28" s="6"/>
      <c r="E28" s="6"/>
      <c r="F28" s="6"/>
      <c r="G28" s="6"/>
    </row>
    <row r="29" spans="1:7" ht="14.25" customHeight="1" x14ac:dyDescent="0.2">
      <c r="B29" s="15" t="s">
        <v>50</v>
      </c>
      <c r="C29" s="6"/>
      <c r="D29" s="6"/>
      <c r="E29" s="6"/>
      <c r="F29" s="6"/>
      <c r="G29" s="6"/>
    </row>
    <row r="30" spans="1:7" ht="14.25" customHeight="1" x14ac:dyDescent="0.2">
      <c r="A30" s="6"/>
      <c r="B30" s="15"/>
      <c r="C30" s="6"/>
      <c r="D30" s="6"/>
      <c r="E30" s="6"/>
      <c r="F30" s="6"/>
      <c r="G30" s="6"/>
    </row>
    <row r="31" spans="1:7" ht="14.25" customHeight="1" x14ac:dyDescent="0.2">
      <c r="A31" s="6"/>
      <c r="B31" s="34" t="s">
        <v>53</v>
      </c>
      <c r="C31" s="6"/>
      <c r="D31" s="6"/>
      <c r="E31" s="6"/>
      <c r="F31" s="6"/>
      <c r="G31" s="6"/>
    </row>
    <row r="32" spans="1:7" ht="27" customHeight="1" x14ac:dyDescent="0.2">
      <c r="A32" s="6"/>
      <c r="B32" s="409" t="s">
        <v>51</v>
      </c>
      <c r="C32" s="409"/>
      <c r="D32" s="409"/>
      <c r="E32" s="409"/>
      <c r="F32" s="409"/>
      <c r="G32" s="409"/>
    </row>
    <row r="33" spans="1:7" ht="14.25" customHeight="1" x14ac:dyDescent="0.2">
      <c r="A33" s="6"/>
      <c r="B33" s="15" t="s">
        <v>54</v>
      </c>
      <c r="C33" s="6"/>
      <c r="D33" s="6"/>
      <c r="E33" s="6"/>
      <c r="F33" s="6"/>
      <c r="G33" s="6"/>
    </row>
    <row r="34" spans="1:7" ht="9" customHeight="1" x14ac:dyDescent="0.2">
      <c r="B34" s="15"/>
      <c r="C34" s="6"/>
      <c r="D34" s="6"/>
      <c r="E34" s="6"/>
      <c r="F34" s="6"/>
      <c r="G34" s="6"/>
    </row>
    <row r="35" spans="1:7" ht="14.25" customHeight="1" x14ac:dyDescent="0.2">
      <c r="A35" s="6"/>
      <c r="B35" s="34" t="s">
        <v>55</v>
      </c>
      <c r="C35" s="6"/>
      <c r="D35" s="6"/>
      <c r="E35" s="6"/>
      <c r="F35" s="6"/>
      <c r="G35" s="6"/>
    </row>
    <row r="36" spans="1:7" x14ac:dyDescent="0.2">
      <c r="A36" s="6"/>
      <c r="B36" s="409" t="s">
        <v>73</v>
      </c>
      <c r="C36" s="409"/>
      <c r="D36" s="409"/>
      <c r="E36" s="409"/>
      <c r="F36" s="409"/>
      <c r="G36" s="409"/>
    </row>
    <row r="37" spans="1:7" s="47" customFormat="1" ht="25.5" customHeight="1" x14ac:dyDescent="0.2">
      <c r="A37" s="6"/>
      <c r="B37" s="409" t="s">
        <v>74</v>
      </c>
      <c r="C37" s="409"/>
      <c r="D37" s="409"/>
      <c r="E37" s="409"/>
      <c r="F37" s="409"/>
      <c r="G37" s="409"/>
    </row>
    <row r="38" spans="1:7" ht="14.25" customHeight="1" x14ac:dyDescent="0.2">
      <c r="A38" s="6"/>
      <c r="B38" s="34" t="s">
        <v>62</v>
      </c>
      <c r="C38" s="13"/>
      <c r="D38" s="13"/>
      <c r="E38" s="13"/>
      <c r="F38" s="13"/>
      <c r="G38" s="13"/>
    </row>
    <row r="39" spans="1:7" ht="25.5" customHeight="1" x14ac:dyDescent="0.2">
      <c r="A39" s="6"/>
      <c r="B39" s="409" t="s">
        <v>75</v>
      </c>
      <c r="C39" s="409"/>
      <c r="D39" s="409"/>
      <c r="E39" s="409"/>
      <c r="F39" s="409"/>
      <c r="G39" s="409"/>
    </row>
    <row r="40" spans="1:7" ht="9" customHeight="1" x14ac:dyDescent="0.2">
      <c r="A40" s="6"/>
      <c r="B40" s="15"/>
      <c r="C40" s="13"/>
      <c r="D40" s="13"/>
      <c r="E40" s="13"/>
      <c r="F40" s="13"/>
      <c r="G40" s="13"/>
    </row>
    <row r="41" spans="1:7" ht="14.25" customHeight="1" x14ac:dyDescent="0.2">
      <c r="A41" s="6"/>
      <c r="B41" s="34" t="s">
        <v>66</v>
      </c>
      <c r="C41" s="13"/>
      <c r="D41" s="13"/>
      <c r="E41" s="13"/>
      <c r="F41" s="13"/>
      <c r="G41" s="13"/>
    </row>
    <row r="42" spans="1:7" ht="14.25" customHeight="1" x14ac:dyDescent="0.2">
      <c r="A42" s="6"/>
      <c r="B42" s="409" t="s">
        <v>76</v>
      </c>
      <c r="C42" s="409"/>
      <c r="D42" s="409"/>
      <c r="E42" s="409"/>
      <c r="F42" s="409"/>
      <c r="G42" s="409"/>
    </row>
    <row r="43" spans="1:7" ht="14.25" customHeight="1" x14ac:dyDescent="0.2">
      <c r="A43" s="6"/>
      <c r="B43" s="410" t="s">
        <v>77</v>
      </c>
      <c r="C43" s="410"/>
      <c r="D43" s="410"/>
      <c r="E43" s="410"/>
      <c r="F43" s="410"/>
      <c r="G43" s="410"/>
    </row>
    <row r="44" spans="1:7" ht="29.25" hidden="1" customHeight="1" x14ac:dyDescent="0.2">
      <c r="A44" s="6"/>
      <c r="B44" s="410" t="s">
        <v>78</v>
      </c>
      <c r="C44" s="410"/>
      <c r="D44" s="410"/>
      <c r="E44" s="410"/>
      <c r="F44" s="410"/>
      <c r="G44" s="410"/>
    </row>
    <row r="45" spans="1:7" ht="14.25" customHeight="1" x14ac:dyDescent="0.2">
      <c r="A45" s="6"/>
      <c r="B45" s="36" t="s">
        <v>79</v>
      </c>
      <c r="C45" s="37"/>
      <c r="D45" s="37"/>
      <c r="E45" s="37"/>
      <c r="F45" s="37"/>
      <c r="G45" s="37"/>
    </row>
    <row r="46" spans="1:7" s="47" customFormat="1" ht="40.5" hidden="1" customHeight="1" x14ac:dyDescent="0.2">
      <c r="A46" s="6"/>
      <c r="B46" s="413" t="s">
        <v>111</v>
      </c>
      <c r="C46" s="410"/>
      <c r="D46" s="410"/>
      <c r="E46" s="410"/>
      <c r="F46" s="410"/>
      <c r="G46" s="410"/>
    </row>
    <row r="47" spans="1:7" hidden="1" x14ac:dyDescent="0.2">
      <c r="A47" s="6"/>
      <c r="B47" s="413" t="s">
        <v>110</v>
      </c>
      <c r="C47" s="410"/>
      <c r="D47" s="410"/>
      <c r="E47" s="410"/>
      <c r="F47" s="410"/>
      <c r="G47" s="410"/>
    </row>
    <row r="48" spans="1:7" ht="14.25" customHeight="1" x14ac:dyDescent="0.2">
      <c r="A48" s="18"/>
      <c r="B48" s="44" t="s">
        <v>56</v>
      </c>
      <c r="C48" s="17"/>
      <c r="D48" s="17"/>
      <c r="E48" s="17"/>
      <c r="F48" s="17"/>
      <c r="G48" s="17"/>
    </row>
    <row r="49" spans="1:7" ht="14.25" customHeight="1" x14ac:dyDescent="0.2">
      <c r="A49" s="18"/>
      <c r="B49" s="38" t="s">
        <v>80</v>
      </c>
      <c r="C49" s="17"/>
      <c r="D49" s="17"/>
      <c r="E49" s="17"/>
      <c r="F49" s="17"/>
      <c r="G49" s="17"/>
    </row>
    <row r="50" spans="1:7" ht="14.25" customHeight="1" thickBot="1" x14ac:dyDescent="0.25">
      <c r="A50" s="6"/>
      <c r="B50" s="22"/>
      <c r="C50" s="6"/>
      <c r="D50" s="6"/>
      <c r="E50" s="6"/>
      <c r="F50" s="6"/>
      <c r="G50" s="6"/>
    </row>
    <row r="51" spans="1:7" ht="14.25" customHeight="1" thickTop="1" x14ac:dyDescent="0.2">
      <c r="A51" s="14"/>
      <c r="B51" s="39" t="s">
        <v>13</v>
      </c>
      <c r="C51" s="40"/>
      <c r="D51" s="40"/>
      <c r="E51" s="40"/>
      <c r="F51" s="40"/>
      <c r="G51" s="41"/>
    </row>
    <row r="52" spans="1:7" s="47" customFormat="1" ht="14.25" customHeight="1" x14ac:dyDescent="0.2">
      <c r="A52" s="14"/>
      <c r="B52" s="67"/>
      <c r="C52" s="68"/>
      <c r="D52" s="68"/>
      <c r="E52" s="68"/>
      <c r="F52" s="68"/>
      <c r="G52" s="69"/>
    </row>
    <row r="53" spans="1:7" s="47" customFormat="1" ht="38.25" customHeight="1" x14ac:dyDescent="0.2">
      <c r="A53" s="14"/>
      <c r="B53" s="411" t="s">
        <v>124</v>
      </c>
      <c r="C53" s="412"/>
      <c r="D53" s="68"/>
      <c r="E53" s="68"/>
      <c r="F53" s="68"/>
      <c r="G53" s="69"/>
    </row>
    <row r="54" spans="1:7" s="47" customFormat="1" ht="33" customHeight="1" x14ac:dyDescent="0.2">
      <c r="A54" s="14"/>
      <c r="B54" s="411" t="s">
        <v>131</v>
      </c>
      <c r="C54" s="412"/>
      <c r="D54" s="68"/>
      <c r="E54" s="68"/>
      <c r="F54" s="68"/>
      <c r="G54" s="69"/>
    </row>
    <row r="55" spans="1:7" s="47" customFormat="1" ht="47.25" customHeight="1" x14ac:dyDescent="0.2">
      <c r="A55" s="14"/>
      <c r="B55" s="411" t="s">
        <v>125</v>
      </c>
      <c r="C55" s="412"/>
      <c r="D55" s="68"/>
      <c r="E55" s="68"/>
      <c r="F55" s="68"/>
      <c r="G55" s="69"/>
    </row>
    <row r="56" spans="1:7" s="47" customFormat="1" ht="42" customHeight="1" x14ac:dyDescent="0.2">
      <c r="A56" s="14"/>
      <c r="B56" s="411" t="s">
        <v>126</v>
      </c>
      <c r="C56" s="412"/>
      <c r="D56" s="68"/>
      <c r="E56" s="68"/>
      <c r="F56" s="68"/>
      <c r="G56" s="69"/>
    </row>
    <row r="57" spans="1:7" s="47" customFormat="1" ht="8.25" customHeight="1" x14ac:dyDescent="0.2">
      <c r="A57" s="14"/>
      <c r="B57" s="72"/>
      <c r="C57" s="68"/>
      <c r="D57" s="68"/>
      <c r="E57" s="68"/>
      <c r="F57" s="68"/>
      <c r="G57" s="69"/>
    </row>
    <row r="58" spans="1:7" s="47" customFormat="1" ht="43.5" customHeight="1" x14ac:dyDescent="0.2">
      <c r="A58" s="14"/>
      <c r="B58" s="411" t="s">
        <v>127</v>
      </c>
      <c r="C58" s="412"/>
      <c r="D58" s="68"/>
      <c r="E58" s="68"/>
      <c r="F58" s="68"/>
      <c r="G58" s="69"/>
    </row>
    <row r="59" spans="1:7" s="47" customFormat="1" ht="14.25" customHeight="1" x14ac:dyDescent="0.2">
      <c r="A59" s="14"/>
      <c r="B59" s="71"/>
      <c r="C59" s="68"/>
      <c r="D59" s="68"/>
      <c r="E59" s="68"/>
      <c r="F59" s="68"/>
      <c r="G59" s="69"/>
    </row>
    <row r="60" spans="1:7" s="47" customFormat="1" ht="56.25" customHeight="1" x14ac:dyDescent="0.2">
      <c r="A60" s="14"/>
      <c r="B60" s="417" t="s">
        <v>128</v>
      </c>
      <c r="C60" s="418"/>
      <c r="D60" s="68"/>
      <c r="E60" s="68"/>
      <c r="F60" s="68"/>
      <c r="G60" s="69"/>
    </row>
    <row r="61" spans="1:7" ht="14.25" customHeight="1" thickBot="1" x14ac:dyDescent="0.25">
      <c r="A61" s="18"/>
      <c r="B61" s="70"/>
      <c r="C61" s="42"/>
      <c r="D61" s="42"/>
      <c r="E61" s="42"/>
      <c r="F61" s="42"/>
      <c r="G61" s="43"/>
    </row>
    <row r="62" spans="1:7" ht="14.25" customHeight="1" thickTop="1" x14ac:dyDescent="0.2">
      <c r="A62" s="18"/>
      <c r="B62" s="17"/>
      <c r="C62" s="17"/>
      <c r="D62" s="17"/>
      <c r="E62" s="17"/>
      <c r="F62" s="17"/>
      <c r="G62" s="17"/>
    </row>
    <row r="63" spans="1:7" ht="14.25" customHeight="1" x14ac:dyDescent="0.2">
      <c r="A63" s="18"/>
      <c r="B63" s="55" t="s">
        <v>81</v>
      </c>
      <c r="C63" s="17"/>
      <c r="D63" s="17"/>
      <c r="E63" s="17"/>
      <c r="F63" s="17"/>
      <c r="G63" s="17"/>
    </row>
    <row r="64" spans="1:7" ht="14.25" customHeight="1" x14ac:dyDescent="0.2">
      <c r="A64" s="18"/>
      <c r="B64" s="17"/>
      <c r="C64" s="17"/>
      <c r="D64" s="17"/>
      <c r="E64" s="17"/>
      <c r="F64" s="17"/>
      <c r="G64" s="17"/>
    </row>
    <row r="65" spans="1:7" ht="14.25" customHeight="1" x14ac:dyDescent="0.2">
      <c r="A65" s="9" t="s">
        <v>15</v>
      </c>
      <c r="B65" s="20"/>
      <c r="C65" s="21"/>
      <c r="D65" s="10"/>
      <c r="E65" s="10"/>
      <c r="F65" s="10"/>
      <c r="G65" s="10"/>
    </row>
    <row r="66" spans="1:7" ht="14.25" customHeight="1" x14ac:dyDescent="0.2">
      <c r="A66" s="8"/>
      <c r="B66" s="11" t="s">
        <v>14</v>
      </c>
      <c r="C66" s="8"/>
      <c r="D66" s="8"/>
      <c r="E66" s="8"/>
      <c r="F66" s="8"/>
      <c r="G66" s="8"/>
    </row>
    <row r="67" spans="1:7" ht="14.25" customHeight="1" x14ac:dyDescent="0.2">
      <c r="B67" s="408" t="s">
        <v>17</v>
      </c>
      <c r="C67" s="408"/>
      <c r="D67" s="408"/>
      <c r="E67" s="408"/>
      <c r="F67" s="408"/>
      <c r="G67" s="408"/>
    </row>
    <row r="68" spans="1:7" ht="14.25" customHeight="1" x14ac:dyDescent="0.2">
      <c r="B68" s="12" t="s">
        <v>18</v>
      </c>
    </row>
    <row r="69" spans="1:7" ht="14.25" customHeight="1" x14ac:dyDescent="0.2">
      <c r="B69" s="19" t="s">
        <v>87</v>
      </c>
    </row>
    <row r="70" spans="1:7" ht="14.25" customHeight="1" x14ac:dyDescent="0.2">
      <c r="B70" s="19" t="s">
        <v>88</v>
      </c>
    </row>
    <row r="71" spans="1:7" ht="14.25" customHeight="1" x14ac:dyDescent="0.2">
      <c r="B71" s="19" t="s">
        <v>89</v>
      </c>
    </row>
    <row r="72" spans="1:7" ht="14.25" customHeight="1" thickBot="1" x14ac:dyDescent="0.25"/>
    <row r="73" spans="1:7" ht="28.5" customHeight="1" thickTop="1" thickBot="1" x14ac:dyDescent="0.25">
      <c r="A73" s="23"/>
      <c r="B73" s="414" t="s">
        <v>16</v>
      </c>
      <c r="C73" s="415"/>
      <c r="D73" s="415"/>
      <c r="E73" s="415"/>
      <c r="F73" s="415"/>
      <c r="G73" s="416"/>
    </row>
    <row r="74" spans="1:7" ht="14.25" customHeight="1" thickTop="1" x14ac:dyDescent="0.2"/>
    <row r="75" spans="1:7" ht="14.25" customHeight="1" x14ac:dyDescent="0.2">
      <c r="A75" s="9" t="s">
        <v>82</v>
      </c>
      <c r="B75" s="20"/>
      <c r="C75" s="21"/>
      <c r="D75" s="10"/>
      <c r="E75" s="10"/>
      <c r="F75" s="10"/>
      <c r="G75" s="10"/>
    </row>
    <row r="76" spans="1:7" ht="28.5" customHeight="1" x14ac:dyDescent="0.2">
      <c r="B76" s="408" t="s">
        <v>83</v>
      </c>
      <c r="C76" s="408"/>
      <c r="D76" s="408"/>
      <c r="E76" s="408"/>
      <c r="F76" s="408"/>
      <c r="G76" s="408"/>
    </row>
    <row r="79" spans="1:7" ht="15" x14ac:dyDescent="0.25">
      <c r="A79" s="331"/>
      <c r="B79" s="331"/>
      <c r="C79" s="331"/>
      <c r="D79" s="331"/>
      <c r="E79" s="332"/>
      <c r="F79" s="331"/>
      <c r="G79" s="331"/>
    </row>
    <row r="80" spans="1:7" ht="15" x14ac:dyDescent="0.25">
      <c r="A80" s="331"/>
      <c r="B80" s="331"/>
      <c r="C80" s="331"/>
      <c r="D80" s="331"/>
      <c r="E80" s="331"/>
      <c r="F80" s="331"/>
      <c r="G80" s="331"/>
    </row>
    <row r="81" spans="1:7" ht="15" x14ac:dyDescent="0.25">
      <c r="A81" s="331"/>
      <c r="B81" s="331"/>
      <c r="C81" s="331"/>
      <c r="D81" s="331"/>
      <c r="E81" s="331"/>
      <c r="F81" s="331"/>
      <c r="G81" s="331"/>
    </row>
    <row r="82" spans="1:7" ht="15" x14ac:dyDescent="0.25">
      <c r="A82" s="331"/>
      <c r="B82" s="331"/>
      <c r="C82" s="331"/>
      <c r="D82" s="331"/>
      <c r="E82" s="331"/>
      <c r="F82" s="331"/>
      <c r="G82" s="331"/>
    </row>
  </sheetData>
  <sheetProtection password="EB50" sheet="1" objects="1"/>
  <mergeCells count="19">
    <mergeCell ref="B39:G39"/>
    <mergeCell ref="B47:G47"/>
    <mergeCell ref="B44:G44"/>
    <mergeCell ref="B46:G46"/>
    <mergeCell ref="B76:G76"/>
    <mergeCell ref="B36:G36"/>
    <mergeCell ref="B73:G73"/>
    <mergeCell ref="B58:C58"/>
    <mergeCell ref="B60:C60"/>
    <mergeCell ref="A1:G1"/>
    <mergeCell ref="B67:G67"/>
    <mergeCell ref="B32:G32"/>
    <mergeCell ref="B42:G42"/>
    <mergeCell ref="B43:G43"/>
    <mergeCell ref="B37:G37"/>
    <mergeCell ref="B53:C53"/>
    <mergeCell ref="B54:C54"/>
    <mergeCell ref="B55:C55"/>
    <mergeCell ref="B56:C56"/>
  </mergeCells>
  <pageMargins left="0.23622047244094491" right="0.23622047244094491" top="0.74803149606299213" bottom="0.74803149606299213" header="0.31496062992125984" footer="0.31496062992125984"/>
  <pageSetup paperSize="9" scale="81" fitToHeight="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8"/>
  <sheetViews>
    <sheetView workbookViewId="0">
      <selection activeCell="B17" sqref="B17"/>
    </sheetView>
  </sheetViews>
  <sheetFormatPr defaultRowHeight="15" x14ac:dyDescent="0.25"/>
  <cols>
    <col min="1" max="1" width="9.140625" customWidth="1"/>
  </cols>
  <sheetData>
    <row r="2" spans="1:3" x14ac:dyDescent="0.25">
      <c r="A2" s="58" t="s">
        <v>96</v>
      </c>
    </row>
    <row r="3" spans="1:3" x14ac:dyDescent="0.25">
      <c r="A3" s="58"/>
    </row>
    <row r="4" spans="1:3" x14ac:dyDescent="0.25">
      <c r="A4" s="58" t="s">
        <v>103</v>
      </c>
    </row>
    <row r="5" spans="1:3" x14ac:dyDescent="0.25">
      <c r="B5" t="s">
        <v>97</v>
      </c>
    </row>
    <row r="6" spans="1:3" x14ac:dyDescent="0.25">
      <c r="B6" t="s">
        <v>98</v>
      </c>
    </row>
    <row r="7" spans="1:3" x14ac:dyDescent="0.25">
      <c r="B7" t="s">
        <v>99</v>
      </c>
    </row>
    <row r="9" spans="1:3" x14ac:dyDescent="0.25">
      <c r="A9" t="s">
        <v>102</v>
      </c>
    </row>
    <row r="11" spans="1:3" x14ac:dyDescent="0.25">
      <c r="A11" s="58" t="s">
        <v>66</v>
      </c>
    </row>
    <row r="12" spans="1:3" x14ac:dyDescent="0.25">
      <c r="B12" t="s">
        <v>105</v>
      </c>
    </row>
    <row r="13" spans="1:3" x14ac:dyDescent="0.25">
      <c r="B13" t="s">
        <v>100</v>
      </c>
    </row>
    <row r="14" spans="1:3" x14ac:dyDescent="0.25">
      <c r="C14" t="s">
        <v>104</v>
      </c>
    </row>
    <row r="15" spans="1:3" x14ac:dyDescent="0.25">
      <c r="B15" t="s">
        <v>106</v>
      </c>
    </row>
    <row r="16" spans="1:3" x14ac:dyDescent="0.25">
      <c r="B16" t="s">
        <v>107</v>
      </c>
    </row>
    <row r="18" spans="1:1" x14ac:dyDescent="0.25">
      <c r="A18" t="s">
        <v>101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E13853B4712D9448C87073E61B41813" ma:contentTypeVersion="9" ma:contentTypeDescription="Create a new document." ma:contentTypeScope="" ma:versionID="5b68e5b783e1f527310b106c017ffdeb">
  <xsd:schema xmlns:xsd="http://www.w3.org/2001/XMLSchema" xmlns:xs="http://www.w3.org/2001/XMLSchema" xmlns:p="http://schemas.microsoft.com/office/2006/metadata/properties" xmlns:ns2="2a81235b-f356-4a9f-a132-3c1f5de1972d" xmlns:ns3="d39288ad-2759-479b-8016-218da56ae7f2" targetNamespace="http://schemas.microsoft.com/office/2006/metadata/properties" ma:root="true" ma:fieldsID="e044a16f9f7b29938744821c392518d6" ns2:_="" ns3:_="">
    <xsd:import namespace="2a81235b-f356-4a9f-a132-3c1f5de1972d"/>
    <xsd:import namespace="d39288ad-2759-479b-8016-218da56ae7f2"/>
    <xsd:element name="properties">
      <xsd:complexType>
        <xsd:sequence>
          <xsd:element name="documentManagement">
            <xsd:complexType>
              <xsd:all>
                <xsd:element ref="ns2:SharedWithUsers" minOccurs="0"/>
                <xsd:element ref="ns3:MediaServiceMetadata" minOccurs="0"/>
                <xsd:element ref="ns3:MediaServiceFastMetadata" minOccurs="0"/>
                <xsd:element ref="ns2:SharedWithDetails" minOccurs="0"/>
                <xsd:element ref="ns3:MediaServiceAutoTags" minOccurs="0"/>
                <xsd:element ref="ns3:MediaServiceOCR" minOccurs="0"/>
                <xsd:element ref="ns3:MediaServiceDateTaken"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81235b-f356-4a9f-a132-3c1f5de1972d"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39288ad-2759-479b-8016-218da56ae7f2" elementFormDefault="qualified">
    <xsd:import namespace="http://schemas.microsoft.com/office/2006/documentManagement/types"/>
    <xsd:import namespace="http://schemas.microsoft.com/office/infopath/2007/PartnerControls"/>
    <xsd:element name="MediaServiceMetadata" ma:index="9" nillable="true" ma:displayName="MediaServiceMetadata" ma:description="" ma:hidden="true" ma:internalName="MediaServiceMetadata" ma:readOnly="true">
      <xsd:simpleType>
        <xsd:restriction base="dms:Note"/>
      </xsd:simpleType>
    </xsd:element>
    <xsd:element name="MediaServiceFastMetadata" ma:index="10" nillable="true" ma:displayName="MediaServiceFastMetadata" ma:description=""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228E3F4-A573-4A5F-8B86-92629834D59F}"/>
</file>

<file path=customXml/itemProps2.xml><?xml version="1.0" encoding="utf-8"?>
<ds:datastoreItem xmlns:ds="http://schemas.openxmlformats.org/officeDocument/2006/customXml" ds:itemID="{F514547C-E501-4762-BBDE-AF54D2DD3B3D}"/>
</file>

<file path=customXml/itemProps3.xml><?xml version="1.0" encoding="utf-8"?>
<ds:datastoreItem xmlns:ds="http://schemas.openxmlformats.org/officeDocument/2006/customXml" ds:itemID="{7F4ED0B0-0287-428E-80B2-CFE44083A14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Spring Feed Budget</vt:lpstr>
      <vt:lpstr>Graphs</vt:lpstr>
      <vt:lpstr>Daily Feed Allocator</vt:lpstr>
      <vt:lpstr>Graph Data</vt:lpstr>
      <vt:lpstr>Help</vt:lpstr>
      <vt:lpstr>Explanations</vt:lpstr>
      <vt:lpstr>'Daily Feed Allocator'!Print_Area</vt:lpstr>
      <vt:lpstr>Graphs!Print_Area</vt:lpstr>
      <vt:lpstr>'Spring Feed Budget'!Print_Area</vt:lpstr>
    </vt:vector>
  </TitlesOfParts>
  <Company>DairyNZ</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Cameron Henderson</dc:creator>
  <cp:lastModifiedBy>Lloyd Collett</cp:lastModifiedBy>
  <cp:lastPrinted>2015-04-29T21:14:08Z</cp:lastPrinted>
  <dcterms:created xsi:type="dcterms:W3CDTF">2014-08-28T05:17:02Z</dcterms:created>
  <dcterms:modified xsi:type="dcterms:W3CDTF">2018-06-15T12:14:27Z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0x010100DE13853B4712D9448C87073E61B41813</vt:lpwstr>
  </property>
</Properties>
</file>