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ebextensions/webextension1.xml" ContentType="application/vnd.ms-office.webextension+xml"/>
  <Override PartName="/xl/drawings/drawing7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heme/theme1.xml" ContentType="application/vnd.openxmlformats-officedocument.theme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drawings/drawing8.xml" ContentType="application/vnd.openxmlformats-officedocument.drawing+xml"/>
  <Override PartName="/xl/drawings/drawing2.xml" ContentType="application/vnd.openxmlformats-officedocument.drawing+xml"/>
  <Override PartName="/xl/drawings/drawing6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loyd\OneDrive - ACS Accounting Trust\Info &amp; Templates\"/>
    </mc:Choice>
  </mc:AlternateContent>
  <xr:revisionPtr revIDLastSave="114" documentId="6_{FE5CBC92-1371-4D7D-83EC-81BFF3F2CB85}" xr6:coauthVersionLast="36" xr6:coauthVersionMax="36" xr10:uidLastSave="{6C101586-7ED4-4A18-BE78-36F3A8D92621}"/>
  <workbookProtection workbookAlgorithmName="SHA-512" workbookHashValue="ZmPAzIzlTy7dREuJpCRndIl70LiS69HZpR/zAbtK9tt1nQVbHCPc49MW5FZLauNDlS8X90QnRfeuLSTnTXu9UA==" workbookSaltValue="eo0p4vTgxRulXgacmW00nA==" workbookSpinCount="100000" lockStructure="1"/>
  <bookViews>
    <workbookView xWindow="0" yWindow="0" windowWidth="20430" windowHeight="6300" activeTab="5" xr2:uid="{AECE301B-7941-4031-BA84-73A8B6DCCD4F}"/>
  </bookViews>
  <sheets>
    <sheet name="Notes" sheetId="2" r:id="rId1"/>
    <sheet name="Calculator" sheetId="7" r:id="rId2"/>
    <sheet name="Old Cal" sheetId="1" state="hidden" r:id="rId3"/>
    <sheet name="LW gain" sheetId="4" r:id="rId4"/>
    <sheet name="Supplement" sheetId="3" r:id="rId5"/>
    <sheet name="APC" sheetId="5" r:id="rId6"/>
    <sheet name="Pivot Area" sheetId="6" r:id="rId7"/>
    <sheet name="Grazing" sheetId="8" state="hidden" r:id="rId8"/>
    <sheet name="Fertilizer" sheetId="9" state="hidden" r:id="rId9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21" i="5" l="1"/>
  <c r="L21" i="5"/>
  <c r="L20" i="5"/>
  <c r="L19" i="5"/>
  <c r="L18" i="5"/>
  <c r="L17" i="5"/>
  <c r="L16" i="5"/>
  <c r="L15" i="5"/>
  <c r="L14" i="5"/>
  <c r="L13" i="5"/>
  <c r="L12" i="5"/>
  <c r="L11" i="5"/>
  <c r="L10" i="5"/>
  <c r="L9" i="5"/>
  <c r="L8" i="5"/>
  <c r="L7" i="5"/>
  <c r="L6" i="5"/>
  <c r="L5" i="5"/>
  <c r="L4" i="5"/>
  <c r="J20" i="5"/>
  <c r="J19" i="5"/>
  <c r="J18" i="5"/>
  <c r="J17" i="5"/>
  <c r="J16" i="5"/>
  <c r="J15" i="5"/>
  <c r="J14" i="5"/>
  <c r="J13" i="5"/>
  <c r="J12" i="5"/>
  <c r="J11" i="5"/>
  <c r="J10" i="5"/>
  <c r="J9" i="5"/>
  <c r="J8" i="5"/>
  <c r="J7" i="5"/>
  <c r="J6" i="5"/>
  <c r="J5" i="5"/>
  <c r="J4" i="5"/>
  <c r="I20" i="5"/>
  <c r="I19" i="5"/>
  <c r="I18" i="5"/>
  <c r="I17" i="5"/>
  <c r="I16" i="5"/>
  <c r="I15" i="5"/>
  <c r="I14" i="5"/>
  <c r="I13" i="5"/>
  <c r="I12" i="5"/>
  <c r="I11" i="5"/>
  <c r="I10" i="5"/>
  <c r="I9" i="5"/>
  <c r="I8" i="5"/>
  <c r="I7" i="5"/>
  <c r="I6" i="5"/>
  <c r="I5" i="5"/>
  <c r="I4" i="5"/>
  <c r="E13" i="5"/>
  <c r="E12" i="5"/>
  <c r="E11" i="5"/>
  <c r="E10" i="5"/>
  <c r="E9" i="5"/>
  <c r="R158" i="8" l="1"/>
  <c r="Q158" i="8"/>
  <c r="P158" i="8"/>
  <c r="O158" i="8"/>
  <c r="N158" i="8"/>
  <c r="M158" i="8"/>
  <c r="L158" i="8"/>
  <c r="K158" i="8"/>
  <c r="J158" i="8"/>
  <c r="I158" i="8"/>
  <c r="H158" i="8"/>
  <c r="G158" i="8"/>
  <c r="F158" i="8"/>
  <c r="E158" i="8"/>
  <c r="D158" i="8"/>
  <c r="C158" i="8"/>
  <c r="R157" i="8"/>
  <c r="R159" i="8" s="1"/>
  <c r="Q157" i="8"/>
  <c r="Q159" i="8" s="1"/>
  <c r="P157" i="8"/>
  <c r="P159" i="8" s="1"/>
  <c r="O157" i="8"/>
  <c r="O159" i="8" s="1"/>
  <c r="N157" i="8"/>
  <c r="N159" i="8" s="1"/>
  <c r="M157" i="8"/>
  <c r="M159" i="8" s="1"/>
  <c r="L157" i="8"/>
  <c r="L159" i="8" s="1"/>
  <c r="K157" i="8"/>
  <c r="K159" i="8" s="1"/>
  <c r="J157" i="8"/>
  <c r="J159" i="8" s="1"/>
  <c r="I157" i="8"/>
  <c r="I159" i="8" s="1"/>
  <c r="H157" i="8"/>
  <c r="H159" i="8" s="1"/>
  <c r="G157" i="8"/>
  <c r="G159" i="8" s="1"/>
  <c r="F157" i="8"/>
  <c r="F159" i="8" s="1"/>
  <c r="E157" i="8"/>
  <c r="E159" i="8" s="1"/>
  <c r="D157" i="8"/>
  <c r="D159" i="8" s="1"/>
  <c r="C157" i="8"/>
  <c r="C160" i="8" s="1"/>
  <c r="R149" i="8"/>
  <c r="Q149" i="8"/>
  <c r="P149" i="8"/>
  <c r="O149" i="8"/>
  <c r="N149" i="8"/>
  <c r="M149" i="8"/>
  <c r="L149" i="8"/>
  <c r="K149" i="8"/>
  <c r="J149" i="8"/>
  <c r="I149" i="8"/>
  <c r="H149" i="8"/>
  <c r="G149" i="8"/>
  <c r="F149" i="8"/>
  <c r="E149" i="8"/>
  <c r="D149" i="8"/>
  <c r="C149" i="8"/>
  <c r="R148" i="8"/>
  <c r="R150" i="8" s="1"/>
  <c r="Q148" i="8"/>
  <c r="Q150" i="8" s="1"/>
  <c r="P148" i="8"/>
  <c r="P150" i="8" s="1"/>
  <c r="O148" i="8"/>
  <c r="O150" i="8" s="1"/>
  <c r="N148" i="8"/>
  <c r="N150" i="8" s="1"/>
  <c r="M148" i="8"/>
  <c r="M150" i="8" s="1"/>
  <c r="L148" i="8"/>
  <c r="L150" i="8" s="1"/>
  <c r="K148" i="8"/>
  <c r="K150" i="8" s="1"/>
  <c r="J148" i="8"/>
  <c r="J150" i="8" s="1"/>
  <c r="I148" i="8"/>
  <c r="I150" i="8" s="1"/>
  <c r="H148" i="8"/>
  <c r="H150" i="8" s="1"/>
  <c r="G148" i="8"/>
  <c r="G150" i="8" s="1"/>
  <c r="F148" i="8"/>
  <c r="F150" i="8" s="1"/>
  <c r="E148" i="8"/>
  <c r="E150" i="8" s="1"/>
  <c r="D148" i="8"/>
  <c r="D150" i="8" s="1"/>
  <c r="C148" i="8"/>
  <c r="C151" i="8" s="1"/>
  <c r="R140" i="8"/>
  <c r="Q140" i="8"/>
  <c r="P140" i="8"/>
  <c r="O140" i="8"/>
  <c r="N140" i="8"/>
  <c r="M140" i="8"/>
  <c r="L140" i="8"/>
  <c r="K140" i="8"/>
  <c r="J140" i="8"/>
  <c r="I140" i="8"/>
  <c r="H140" i="8"/>
  <c r="G140" i="8"/>
  <c r="F140" i="8"/>
  <c r="E140" i="8"/>
  <c r="D140" i="8"/>
  <c r="C140" i="8"/>
  <c r="R139" i="8"/>
  <c r="R141" i="8" s="1"/>
  <c r="Q139" i="8"/>
  <c r="Q141" i="8" s="1"/>
  <c r="P139" i="8"/>
  <c r="P141" i="8" s="1"/>
  <c r="O139" i="8"/>
  <c r="O141" i="8" s="1"/>
  <c r="N139" i="8"/>
  <c r="N141" i="8" s="1"/>
  <c r="M139" i="8"/>
  <c r="M141" i="8" s="1"/>
  <c r="L139" i="8"/>
  <c r="L141" i="8" s="1"/>
  <c r="K139" i="8"/>
  <c r="K141" i="8" s="1"/>
  <c r="J139" i="8"/>
  <c r="J141" i="8" s="1"/>
  <c r="I139" i="8"/>
  <c r="I141" i="8" s="1"/>
  <c r="H139" i="8"/>
  <c r="H141" i="8" s="1"/>
  <c r="G139" i="8"/>
  <c r="G141" i="8" s="1"/>
  <c r="F139" i="8"/>
  <c r="F141" i="8" s="1"/>
  <c r="E139" i="8"/>
  <c r="E141" i="8" s="1"/>
  <c r="D139" i="8"/>
  <c r="D141" i="8" s="1"/>
  <c r="C139" i="8"/>
  <c r="C142" i="8" s="1"/>
  <c r="R131" i="8"/>
  <c r="Q131" i="8"/>
  <c r="P131" i="8"/>
  <c r="O131" i="8"/>
  <c r="N131" i="8"/>
  <c r="M131" i="8"/>
  <c r="L131" i="8"/>
  <c r="K131" i="8"/>
  <c r="J131" i="8"/>
  <c r="I131" i="8"/>
  <c r="H131" i="8"/>
  <c r="G131" i="8"/>
  <c r="F131" i="8"/>
  <c r="E131" i="8"/>
  <c r="D131" i="8"/>
  <c r="C131" i="8"/>
  <c r="R130" i="8"/>
  <c r="R132" i="8" s="1"/>
  <c r="Q130" i="8"/>
  <c r="Q132" i="8" s="1"/>
  <c r="P130" i="8"/>
  <c r="P132" i="8" s="1"/>
  <c r="O130" i="8"/>
  <c r="O132" i="8" s="1"/>
  <c r="N130" i="8"/>
  <c r="N132" i="8" s="1"/>
  <c r="M130" i="8"/>
  <c r="M132" i="8" s="1"/>
  <c r="L130" i="8"/>
  <c r="L132" i="8" s="1"/>
  <c r="K130" i="8"/>
  <c r="K132" i="8" s="1"/>
  <c r="J130" i="8"/>
  <c r="J132" i="8" s="1"/>
  <c r="I130" i="8"/>
  <c r="I132" i="8" s="1"/>
  <c r="H130" i="8"/>
  <c r="H132" i="8" s="1"/>
  <c r="G130" i="8"/>
  <c r="G132" i="8" s="1"/>
  <c r="F130" i="8"/>
  <c r="F132" i="8" s="1"/>
  <c r="E130" i="8"/>
  <c r="E132" i="8" s="1"/>
  <c r="D130" i="8"/>
  <c r="D132" i="8" s="1"/>
  <c r="C130" i="8"/>
  <c r="C133" i="8" s="1"/>
  <c r="R122" i="8"/>
  <c r="Q122" i="8"/>
  <c r="P122" i="8"/>
  <c r="O122" i="8"/>
  <c r="N122" i="8"/>
  <c r="M122" i="8"/>
  <c r="L122" i="8"/>
  <c r="K122" i="8"/>
  <c r="J122" i="8"/>
  <c r="I122" i="8"/>
  <c r="H122" i="8"/>
  <c r="G122" i="8"/>
  <c r="F122" i="8"/>
  <c r="E122" i="8"/>
  <c r="D122" i="8"/>
  <c r="C122" i="8"/>
  <c r="R121" i="8"/>
  <c r="R123" i="8" s="1"/>
  <c r="Q121" i="8"/>
  <c r="Q123" i="8" s="1"/>
  <c r="P121" i="8"/>
  <c r="P123" i="8" s="1"/>
  <c r="O121" i="8"/>
  <c r="O123" i="8" s="1"/>
  <c r="N121" i="8"/>
  <c r="N123" i="8" s="1"/>
  <c r="M121" i="8"/>
  <c r="M123" i="8" s="1"/>
  <c r="L121" i="8"/>
  <c r="L123" i="8" s="1"/>
  <c r="K121" i="8"/>
  <c r="K123" i="8" s="1"/>
  <c r="J121" i="8"/>
  <c r="J123" i="8" s="1"/>
  <c r="I121" i="8"/>
  <c r="I123" i="8" s="1"/>
  <c r="H121" i="8"/>
  <c r="H123" i="8" s="1"/>
  <c r="G121" i="8"/>
  <c r="G123" i="8" s="1"/>
  <c r="F121" i="8"/>
  <c r="F123" i="8" s="1"/>
  <c r="E121" i="8"/>
  <c r="E123" i="8" s="1"/>
  <c r="D121" i="8"/>
  <c r="D123" i="8" s="1"/>
  <c r="C121" i="8"/>
  <c r="C124" i="8" s="1"/>
  <c r="R113" i="8"/>
  <c r="Q113" i="8"/>
  <c r="P113" i="8"/>
  <c r="O113" i="8"/>
  <c r="N113" i="8"/>
  <c r="M113" i="8"/>
  <c r="L113" i="8"/>
  <c r="K113" i="8"/>
  <c r="J113" i="8"/>
  <c r="I113" i="8"/>
  <c r="H113" i="8"/>
  <c r="G113" i="8"/>
  <c r="F113" i="8"/>
  <c r="E113" i="8"/>
  <c r="D113" i="8"/>
  <c r="C113" i="8"/>
  <c r="R112" i="8"/>
  <c r="R114" i="8" s="1"/>
  <c r="Q112" i="8"/>
  <c r="Q114" i="8" s="1"/>
  <c r="P112" i="8"/>
  <c r="P114" i="8" s="1"/>
  <c r="O112" i="8"/>
  <c r="O114" i="8" s="1"/>
  <c r="N112" i="8"/>
  <c r="N114" i="8" s="1"/>
  <c r="M112" i="8"/>
  <c r="M114" i="8" s="1"/>
  <c r="L112" i="8"/>
  <c r="L114" i="8" s="1"/>
  <c r="K112" i="8"/>
  <c r="K114" i="8" s="1"/>
  <c r="J112" i="8"/>
  <c r="J114" i="8" s="1"/>
  <c r="I112" i="8"/>
  <c r="I114" i="8" s="1"/>
  <c r="H112" i="8"/>
  <c r="H114" i="8" s="1"/>
  <c r="G112" i="8"/>
  <c r="G114" i="8" s="1"/>
  <c r="F112" i="8"/>
  <c r="F114" i="8" s="1"/>
  <c r="E112" i="8"/>
  <c r="E114" i="8" s="1"/>
  <c r="D112" i="8"/>
  <c r="D114" i="8" s="1"/>
  <c r="C112" i="8"/>
  <c r="C115" i="8" s="1"/>
  <c r="R104" i="8"/>
  <c r="Q104" i="8"/>
  <c r="P104" i="8"/>
  <c r="O104" i="8"/>
  <c r="N104" i="8"/>
  <c r="M104" i="8"/>
  <c r="L104" i="8"/>
  <c r="K104" i="8"/>
  <c r="J104" i="8"/>
  <c r="I104" i="8"/>
  <c r="H104" i="8"/>
  <c r="G104" i="8"/>
  <c r="F104" i="8"/>
  <c r="E104" i="8"/>
  <c r="D104" i="8"/>
  <c r="C104" i="8"/>
  <c r="R103" i="8"/>
  <c r="R105" i="8" s="1"/>
  <c r="Q103" i="8"/>
  <c r="Q105" i="8" s="1"/>
  <c r="P103" i="8"/>
  <c r="P105" i="8" s="1"/>
  <c r="O103" i="8"/>
  <c r="O105" i="8" s="1"/>
  <c r="N103" i="8"/>
  <c r="N105" i="8" s="1"/>
  <c r="M103" i="8"/>
  <c r="M105" i="8" s="1"/>
  <c r="L103" i="8"/>
  <c r="L105" i="8" s="1"/>
  <c r="K103" i="8"/>
  <c r="K105" i="8" s="1"/>
  <c r="J103" i="8"/>
  <c r="J105" i="8" s="1"/>
  <c r="I103" i="8"/>
  <c r="I105" i="8" s="1"/>
  <c r="H103" i="8"/>
  <c r="H105" i="8" s="1"/>
  <c r="G103" i="8"/>
  <c r="G105" i="8" s="1"/>
  <c r="F103" i="8"/>
  <c r="F105" i="8" s="1"/>
  <c r="E103" i="8"/>
  <c r="E105" i="8" s="1"/>
  <c r="D103" i="8"/>
  <c r="D105" i="8" s="1"/>
  <c r="C103" i="8"/>
  <c r="C106" i="8" s="1"/>
  <c r="R95" i="8"/>
  <c r="Q95" i="8"/>
  <c r="P95" i="8"/>
  <c r="O95" i="8"/>
  <c r="N95" i="8"/>
  <c r="M95" i="8"/>
  <c r="L95" i="8"/>
  <c r="K95" i="8"/>
  <c r="J95" i="8"/>
  <c r="I95" i="8"/>
  <c r="H95" i="8"/>
  <c r="G95" i="8"/>
  <c r="F95" i="8"/>
  <c r="E95" i="8"/>
  <c r="D95" i="8"/>
  <c r="C95" i="8"/>
  <c r="R94" i="8"/>
  <c r="R96" i="8" s="1"/>
  <c r="Q94" i="8"/>
  <c r="Q96" i="8" s="1"/>
  <c r="P94" i="8"/>
  <c r="P96" i="8" s="1"/>
  <c r="O94" i="8"/>
  <c r="O96" i="8" s="1"/>
  <c r="N94" i="8"/>
  <c r="N96" i="8" s="1"/>
  <c r="M94" i="8"/>
  <c r="M96" i="8" s="1"/>
  <c r="L94" i="8"/>
  <c r="L96" i="8" s="1"/>
  <c r="K94" i="8"/>
  <c r="K96" i="8" s="1"/>
  <c r="J94" i="8"/>
  <c r="J96" i="8" s="1"/>
  <c r="I94" i="8"/>
  <c r="I96" i="8" s="1"/>
  <c r="H94" i="8"/>
  <c r="H96" i="8" s="1"/>
  <c r="G94" i="8"/>
  <c r="G96" i="8" s="1"/>
  <c r="F94" i="8"/>
  <c r="F96" i="8" s="1"/>
  <c r="E94" i="8"/>
  <c r="E96" i="8" s="1"/>
  <c r="D94" i="8"/>
  <c r="D96" i="8" s="1"/>
  <c r="C94" i="8"/>
  <c r="C97" i="8" s="1"/>
  <c r="R86" i="8"/>
  <c r="Q86" i="8"/>
  <c r="P86" i="8"/>
  <c r="O86" i="8"/>
  <c r="N86" i="8"/>
  <c r="M86" i="8"/>
  <c r="L86" i="8"/>
  <c r="K86" i="8"/>
  <c r="J86" i="8"/>
  <c r="I86" i="8"/>
  <c r="H86" i="8"/>
  <c r="G86" i="8"/>
  <c r="F86" i="8"/>
  <c r="E86" i="8"/>
  <c r="D86" i="8"/>
  <c r="C86" i="8"/>
  <c r="R85" i="8"/>
  <c r="R87" i="8" s="1"/>
  <c r="Q85" i="8"/>
  <c r="Q87" i="8" s="1"/>
  <c r="P85" i="8"/>
  <c r="P87" i="8" s="1"/>
  <c r="O85" i="8"/>
  <c r="O87" i="8" s="1"/>
  <c r="N85" i="8"/>
  <c r="N87" i="8" s="1"/>
  <c r="M85" i="8"/>
  <c r="M87" i="8" s="1"/>
  <c r="L85" i="8"/>
  <c r="L87" i="8" s="1"/>
  <c r="K85" i="8"/>
  <c r="K87" i="8" s="1"/>
  <c r="J85" i="8"/>
  <c r="J87" i="8" s="1"/>
  <c r="I85" i="8"/>
  <c r="I87" i="8" s="1"/>
  <c r="H85" i="8"/>
  <c r="H87" i="8" s="1"/>
  <c r="G85" i="8"/>
  <c r="G87" i="8" s="1"/>
  <c r="F85" i="8"/>
  <c r="F87" i="8" s="1"/>
  <c r="E85" i="8"/>
  <c r="E87" i="8" s="1"/>
  <c r="D85" i="8"/>
  <c r="D87" i="8" s="1"/>
  <c r="C85" i="8"/>
  <c r="C88" i="8" s="1"/>
  <c r="R77" i="8"/>
  <c r="Q77" i="8"/>
  <c r="P77" i="8"/>
  <c r="O77" i="8"/>
  <c r="N77" i="8"/>
  <c r="M77" i="8"/>
  <c r="L77" i="8"/>
  <c r="K77" i="8"/>
  <c r="J77" i="8"/>
  <c r="I77" i="8"/>
  <c r="H77" i="8"/>
  <c r="G77" i="8"/>
  <c r="F77" i="8"/>
  <c r="E77" i="8"/>
  <c r="D77" i="8"/>
  <c r="C77" i="8"/>
  <c r="R76" i="8"/>
  <c r="R78" i="8" s="1"/>
  <c r="Q76" i="8"/>
  <c r="Q78" i="8" s="1"/>
  <c r="P76" i="8"/>
  <c r="P78" i="8" s="1"/>
  <c r="O76" i="8"/>
  <c r="O78" i="8" s="1"/>
  <c r="N76" i="8"/>
  <c r="N78" i="8" s="1"/>
  <c r="M76" i="8"/>
  <c r="M78" i="8" s="1"/>
  <c r="L76" i="8"/>
  <c r="L78" i="8" s="1"/>
  <c r="K76" i="8"/>
  <c r="K78" i="8" s="1"/>
  <c r="J76" i="8"/>
  <c r="J78" i="8" s="1"/>
  <c r="I76" i="8"/>
  <c r="I78" i="8" s="1"/>
  <c r="H76" i="8"/>
  <c r="H78" i="8" s="1"/>
  <c r="G76" i="8"/>
  <c r="G78" i="8" s="1"/>
  <c r="F76" i="8"/>
  <c r="F78" i="8" s="1"/>
  <c r="E76" i="8"/>
  <c r="E78" i="8" s="1"/>
  <c r="D76" i="8"/>
  <c r="D78" i="8" s="1"/>
  <c r="C76" i="8"/>
  <c r="C79" i="8" s="1"/>
  <c r="R68" i="8"/>
  <c r="Q68" i="8"/>
  <c r="P68" i="8"/>
  <c r="O68" i="8"/>
  <c r="N68" i="8"/>
  <c r="M68" i="8"/>
  <c r="L68" i="8"/>
  <c r="K68" i="8"/>
  <c r="J68" i="8"/>
  <c r="I68" i="8"/>
  <c r="H68" i="8"/>
  <c r="G68" i="8"/>
  <c r="F68" i="8"/>
  <c r="E68" i="8"/>
  <c r="D68" i="8"/>
  <c r="C68" i="8"/>
  <c r="R67" i="8"/>
  <c r="R69" i="8" s="1"/>
  <c r="Q67" i="8"/>
  <c r="Q69" i="8" s="1"/>
  <c r="P67" i="8"/>
  <c r="P69" i="8" s="1"/>
  <c r="O67" i="8"/>
  <c r="O69" i="8" s="1"/>
  <c r="N67" i="8"/>
  <c r="N69" i="8" s="1"/>
  <c r="M67" i="8"/>
  <c r="M69" i="8" s="1"/>
  <c r="L67" i="8"/>
  <c r="L69" i="8" s="1"/>
  <c r="K67" i="8"/>
  <c r="K69" i="8" s="1"/>
  <c r="J67" i="8"/>
  <c r="J69" i="8" s="1"/>
  <c r="I67" i="8"/>
  <c r="I69" i="8" s="1"/>
  <c r="H67" i="8"/>
  <c r="H69" i="8" s="1"/>
  <c r="G67" i="8"/>
  <c r="G69" i="8" s="1"/>
  <c r="F67" i="8"/>
  <c r="F69" i="8" s="1"/>
  <c r="E67" i="8"/>
  <c r="E69" i="8" s="1"/>
  <c r="D67" i="8"/>
  <c r="D69" i="8" s="1"/>
  <c r="C67" i="8"/>
  <c r="C70" i="8" s="1"/>
  <c r="R59" i="8"/>
  <c r="Q59" i="8"/>
  <c r="P59" i="8"/>
  <c r="O59" i="8"/>
  <c r="N59" i="8"/>
  <c r="M59" i="8"/>
  <c r="L59" i="8"/>
  <c r="K59" i="8"/>
  <c r="J59" i="8"/>
  <c r="I59" i="8"/>
  <c r="H59" i="8"/>
  <c r="G59" i="8"/>
  <c r="F59" i="8"/>
  <c r="E59" i="8"/>
  <c r="D59" i="8"/>
  <c r="C59" i="8"/>
  <c r="R58" i="8"/>
  <c r="R60" i="8" s="1"/>
  <c r="Q58" i="8"/>
  <c r="Q60" i="8" s="1"/>
  <c r="P58" i="8"/>
  <c r="P60" i="8" s="1"/>
  <c r="O58" i="8"/>
  <c r="O60" i="8" s="1"/>
  <c r="N58" i="8"/>
  <c r="N60" i="8" s="1"/>
  <c r="M58" i="8"/>
  <c r="M60" i="8" s="1"/>
  <c r="L58" i="8"/>
  <c r="L60" i="8" s="1"/>
  <c r="K58" i="8"/>
  <c r="K60" i="8" s="1"/>
  <c r="J58" i="8"/>
  <c r="J60" i="8" s="1"/>
  <c r="I58" i="8"/>
  <c r="I60" i="8" s="1"/>
  <c r="H58" i="8"/>
  <c r="H60" i="8" s="1"/>
  <c r="G58" i="8"/>
  <c r="G60" i="8" s="1"/>
  <c r="F58" i="8"/>
  <c r="F60" i="8" s="1"/>
  <c r="E58" i="8"/>
  <c r="E60" i="8" s="1"/>
  <c r="D58" i="8"/>
  <c r="D60" i="8" s="1"/>
  <c r="C58" i="8"/>
  <c r="C61" i="8" s="1"/>
  <c r="R50" i="8"/>
  <c r="Q50" i="8"/>
  <c r="P50" i="8"/>
  <c r="O50" i="8"/>
  <c r="N50" i="8"/>
  <c r="M50" i="8"/>
  <c r="L50" i="8"/>
  <c r="K50" i="8"/>
  <c r="J50" i="8"/>
  <c r="I50" i="8"/>
  <c r="H50" i="8"/>
  <c r="G50" i="8"/>
  <c r="F50" i="8"/>
  <c r="E50" i="8"/>
  <c r="D50" i="8"/>
  <c r="C50" i="8"/>
  <c r="R49" i="8"/>
  <c r="R51" i="8" s="1"/>
  <c r="Q49" i="8"/>
  <c r="Q51" i="8" s="1"/>
  <c r="P49" i="8"/>
  <c r="P51" i="8" s="1"/>
  <c r="O49" i="8"/>
  <c r="O51" i="8" s="1"/>
  <c r="N49" i="8"/>
  <c r="N51" i="8" s="1"/>
  <c r="M49" i="8"/>
  <c r="M51" i="8" s="1"/>
  <c r="L49" i="8"/>
  <c r="L51" i="8" s="1"/>
  <c r="K49" i="8"/>
  <c r="K51" i="8" s="1"/>
  <c r="J49" i="8"/>
  <c r="J51" i="8" s="1"/>
  <c r="I49" i="8"/>
  <c r="I51" i="8" s="1"/>
  <c r="H49" i="8"/>
  <c r="H51" i="8" s="1"/>
  <c r="G49" i="8"/>
  <c r="G51" i="8" s="1"/>
  <c r="F49" i="8"/>
  <c r="F51" i="8" s="1"/>
  <c r="E49" i="8"/>
  <c r="E51" i="8" s="1"/>
  <c r="D49" i="8"/>
  <c r="D51" i="8" s="1"/>
  <c r="C49" i="8"/>
  <c r="R41" i="8"/>
  <c r="Q41" i="8"/>
  <c r="P41" i="8"/>
  <c r="O41" i="8"/>
  <c r="N41" i="8"/>
  <c r="M41" i="8"/>
  <c r="L41" i="8"/>
  <c r="K41" i="8"/>
  <c r="J41" i="8"/>
  <c r="I41" i="8"/>
  <c r="H41" i="8"/>
  <c r="G41" i="8"/>
  <c r="F41" i="8"/>
  <c r="E41" i="8"/>
  <c r="D41" i="8"/>
  <c r="C41" i="8"/>
  <c r="R40" i="8"/>
  <c r="R42" i="8" s="1"/>
  <c r="Q40" i="8"/>
  <c r="Q42" i="8" s="1"/>
  <c r="P40" i="8"/>
  <c r="P42" i="8" s="1"/>
  <c r="O40" i="8"/>
  <c r="O42" i="8" s="1"/>
  <c r="N40" i="8"/>
  <c r="N42" i="8" s="1"/>
  <c r="M40" i="8"/>
  <c r="M42" i="8" s="1"/>
  <c r="L40" i="8"/>
  <c r="L42" i="8" s="1"/>
  <c r="K40" i="8"/>
  <c r="K42" i="8" s="1"/>
  <c r="J40" i="8"/>
  <c r="J42" i="8" s="1"/>
  <c r="I40" i="8"/>
  <c r="I42" i="8" s="1"/>
  <c r="H40" i="8"/>
  <c r="H42" i="8" s="1"/>
  <c r="G40" i="8"/>
  <c r="G42" i="8" s="1"/>
  <c r="F40" i="8"/>
  <c r="F42" i="8" s="1"/>
  <c r="E40" i="8"/>
  <c r="E42" i="8" s="1"/>
  <c r="D40" i="8"/>
  <c r="D42" i="8" s="1"/>
  <c r="C40" i="8"/>
  <c r="C43" i="8" s="1"/>
  <c r="R32" i="8"/>
  <c r="Q32" i="8"/>
  <c r="P32" i="8"/>
  <c r="O32" i="8"/>
  <c r="N32" i="8"/>
  <c r="M32" i="8"/>
  <c r="L32" i="8"/>
  <c r="K32" i="8"/>
  <c r="J32" i="8"/>
  <c r="I32" i="8"/>
  <c r="H32" i="8"/>
  <c r="G32" i="8"/>
  <c r="F32" i="8"/>
  <c r="E32" i="8"/>
  <c r="D32" i="8"/>
  <c r="C32" i="8"/>
  <c r="R31" i="8"/>
  <c r="R33" i="8" s="1"/>
  <c r="Q31" i="8"/>
  <c r="Q33" i="8" s="1"/>
  <c r="P31" i="8"/>
  <c r="P33" i="8" s="1"/>
  <c r="O31" i="8"/>
  <c r="O33" i="8" s="1"/>
  <c r="N31" i="8"/>
  <c r="N33" i="8" s="1"/>
  <c r="M31" i="8"/>
  <c r="M33" i="8" s="1"/>
  <c r="L31" i="8"/>
  <c r="L33" i="8" s="1"/>
  <c r="K31" i="8"/>
  <c r="K33" i="8" s="1"/>
  <c r="J31" i="8"/>
  <c r="J33" i="8" s="1"/>
  <c r="I31" i="8"/>
  <c r="I33" i="8" s="1"/>
  <c r="H31" i="8"/>
  <c r="H33" i="8" s="1"/>
  <c r="G31" i="8"/>
  <c r="G33" i="8" s="1"/>
  <c r="F31" i="8"/>
  <c r="F33" i="8" s="1"/>
  <c r="E31" i="8"/>
  <c r="E33" i="8" s="1"/>
  <c r="D31" i="8"/>
  <c r="D33" i="8" s="1"/>
  <c r="C31" i="8"/>
  <c r="C34" i="8" s="1"/>
  <c r="R23" i="8"/>
  <c r="Q23" i="8"/>
  <c r="P23" i="8"/>
  <c r="O23" i="8"/>
  <c r="N23" i="8"/>
  <c r="M23" i="8"/>
  <c r="L23" i="8"/>
  <c r="K23" i="8"/>
  <c r="J23" i="8"/>
  <c r="I23" i="8"/>
  <c r="H23" i="8"/>
  <c r="G23" i="8"/>
  <c r="F23" i="8"/>
  <c r="E23" i="8"/>
  <c r="D23" i="8"/>
  <c r="C23" i="8"/>
  <c r="R22" i="8"/>
  <c r="R24" i="8" s="1"/>
  <c r="Q22" i="8"/>
  <c r="Q24" i="8" s="1"/>
  <c r="P22" i="8"/>
  <c r="P24" i="8" s="1"/>
  <c r="O22" i="8"/>
  <c r="O24" i="8" s="1"/>
  <c r="N22" i="8"/>
  <c r="N24" i="8" s="1"/>
  <c r="M22" i="8"/>
  <c r="M24" i="8" s="1"/>
  <c r="L22" i="8"/>
  <c r="L24" i="8" s="1"/>
  <c r="K22" i="8"/>
  <c r="K24" i="8" s="1"/>
  <c r="J22" i="8"/>
  <c r="J24" i="8" s="1"/>
  <c r="I22" i="8"/>
  <c r="I24" i="8" s="1"/>
  <c r="H22" i="8"/>
  <c r="H24" i="8" s="1"/>
  <c r="G22" i="8"/>
  <c r="G24" i="8" s="1"/>
  <c r="F22" i="8"/>
  <c r="F24" i="8" s="1"/>
  <c r="E22" i="8"/>
  <c r="E24" i="8" s="1"/>
  <c r="D22" i="8"/>
  <c r="D24" i="8" s="1"/>
  <c r="C22" i="8"/>
  <c r="R14" i="8"/>
  <c r="Q14" i="8"/>
  <c r="P14" i="8"/>
  <c r="O14" i="8"/>
  <c r="N14" i="8"/>
  <c r="M14" i="8"/>
  <c r="L14" i="8"/>
  <c r="K14" i="8"/>
  <c r="J14" i="8"/>
  <c r="I14" i="8"/>
  <c r="H14" i="8"/>
  <c r="G14" i="8"/>
  <c r="F14" i="8"/>
  <c r="E14" i="8"/>
  <c r="R13" i="8"/>
  <c r="R15" i="8" s="1"/>
  <c r="Q13" i="8"/>
  <c r="Q15" i="8" s="1"/>
  <c r="P13" i="8"/>
  <c r="P15" i="8" s="1"/>
  <c r="O13" i="8"/>
  <c r="O15" i="8" s="1"/>
  <c r="N13" i="8"/>
  <c r="N15" i="8" s="1"/>
  <c r="M13" i="8"/>
  <c r="M15" i="8" s="1"/>
  <c r="L13" i="8"/>
  <c r="L15" i="8" s="1"/>
  <c r="K13" i="8"/>
  <c r="K15" i="8" s="1"/>
  <c r="J13" i="8"/>
  <c r="J15" i="8" s="1"/>
  <c r="I13" i="8"/>
  <c r="I15" i="8" s="1"/>
  <c r="H13" i="8"/>
  <c r="H15" i="8" s="1"/>
  <c r="G13" i="8"/>
  <c r="G15" i="8" s="1"/>
  <c r="F13" i="8"/>
  <c r="F15" i="8" s="1"/>
  <c r="E13" i="8"/>
  <c r="E15" i="8" s="1"/>
  <c r="D14" i="8"/>
  <c r="C14" i="8"/>
  <c r="D13" i="8"/>
  <c r="D15" i="8" s="1"/>
  <c r="C13" i="8"/>
  <c r="L4" i="7"/>
  <c r="H7" i="7"/>
  <c r="C7" i="7"/>
  <c r="C9" i="7" s="1"/>
  <c r="O20" i="7"/>
  <c r="K20" i="7"/>
  <c r="G20" i="7"/>
  <c r="C20" i="7"/>
  <c r="P19" i="7"/>
  <c r="L19" i="7"/>
  <c r="H19" i="7"/>
  <c r="D19" i="7"/>
  <c r="P18" i="7"/>
  <c r="L18" i="7"/>
  <c r="H18" i="7"/>
  <c r="D18" i="7"/>
  <c r="P17" i="7"/>
  <c r="P20" i="7" s="1"/>
  <c r="L17" i="7"/>
  <c r="L20" i="7" s="1"/>
  <c r="H17" i="7"/>
  <c r="H20" i="7" s="1"/>
  <c r="D17" i="7"/>
  <c r="D20" i="7" s="1"/>
  <c r="O15" i="7"/>
  <c r="P15" i="7" s="1"/>
  <c r="K15" i="7"/>
  <c r="L15" i="7" s="1"/>
  <c r="G15" i="7"/>
  <c r="H15" i="7" s="1"/>
  <c r="C15" i="7"/>
  <c r="D15" i="7" s="1"/>
  <c r="P14" i="7"/>
  <c r="O14" i="7"/>
  <c r="L14" i="7"/>
  <c r="K14" i="7"/>
  <c r="H14" i="7"/>
  <c r="G14" i="7"/>
  <c r="D14" i="7"/>
  <c r="C14" i="7"/>
  <c r="P13" i="7"/>
  <c r="O13" i="7"/>
  <c r="L13" i="7"/>
  <c r="K13" i="7"/>
  <c r="H13" i="7"/>
  <c r="G13" i="7"/>
  <c r="D13" i="7"/>
  <c r="C13" i="7"/>
  <c r="O12" i="7"/>
  <c r="P12" i="7" s="1"/>
  <c r="P16" i="7" s="1"/>
  <c r="K12" i="7"/>
  <c r="L12" i="7" s="1"/>
  <c r="L16" i="7" s="1"/>
  <c r="G12" i="7"/>
  <c r="H12" i="7" s="1"/>
  <c r="H16" i="7" s="1"/>
  <c r="C12" i="7"/>
  <c r="D12" i="7" s="1"/>
  <c r="G7" i="7"/>
  <c r="B7" i="7"/>
  <c r="B9" i="7" s="1"/>
  <c r="D16" i="7" l="1"/>
  <c r="L5" i="7"/>
  <c r="C52" i="8"/>
  <c r="C25" i="8"/>
  <c r="R16" i="8"/>
  <c r="C16" i="8"/>
  <c r="E16" i="8"/>
  <c r="G16" i="8"/>
  <c r="I16" i="8"/>
  <c r="K16" i="8"/>
  <c r="M16" i="8"/>
  <c r="O16" i="8"/>
  <c r="Q16" i="8"/>
  <c r="D16" i="8"/>
  <c r="F16" i="8"/>
  <c r="H16" i="8"/>
  <c r="J16" i="8"/>
  <c r="L16" i="8"/>
  <c r="N16" i="8"/>
  <c r="P16" i="8"/>
  <c r="H8" i="7"/>
  <c r="G8" i="7"/>
  <c r="D21" i="7"/>
  <c r="L21" i="7"/>
  <c r="H21" i="7"/>
  <c r="P21" i="7"/>
  <c r="C16" i="7"/>
  <c r="G16" i="7"/>
  <c r="K16" i="7"/>
  <c r="O16" i="7"/>
  <c r="B14" i="6"/>
  <c r="F14" i="6"/>
  <c r="N14" i="6"/>
  <c r="N6" i="6"/>
  <c r="J6" i="6"/>
  <c r="F6" i="6"/>
  <c r="O23" i="6"/>
  <c r="O24" i="6" s="1"/>
  <c r="N24" i="6" s="1"/>
  <c r="N23" i="6" s="1"/>
  <c r="N22" i="6" s="1"/>
  <c r="O15" i="6"/>
  <c r="O16" i="6" s="1"/>
  <c r="N16" i="6" s="1"/>
  <c r="N15" i="6" s="1"/>
  <c r="K23" i="6"/>
  <c r="K24" i="6" s="1"/>
  <c r="J24" i="6" s="1"/>
  <c r="J23" i="6" s="1"/>
  <c r="J22" i="6" s="1"/>
  <c r="K15" i="6"/>
  <c r="K16" i="6" s="1"/>
  <c r="J16" i="6" s="1"/>
  <c r="J15" i="6" s="1"/>
  <c r="J14" i="6" s="1"/>
  <c r="G23" i="6"/>
  <c r="G24" i="6" s="1"/>
  <c r="F24" i="6" s="1"/>
  <c r="F23" i="6" s="1"/>
  <c r="F22" i="6" s="1"/>
  <c r="G15" i="6"/>
  <c r="G16" i="6" s="1"/>
  <c r="F16" i="6" s="1"/>
  <c r="F15" i="6" s="1"/>
  <c r="C23" i="6"/>
  <c r="C24" i="6" s="1"/>
  <c r="B24" i="6" s="1"/>
  <c r="B23" i="6" s="1"/>
  <c r="B22" i="6" s="1"/>
  <c r="C15" i="6"/>
  <c r="C16" i="6" s="1"/>
  <c r="B16" i="6" s="1"/>
  <c r="B15" i="6" s="1"/>
  <c r="O7" i="6"/>
  <c r="O8" i="6" s="1"/>
  <c r="N8" i="6" s="1"/>
  <c r="N7" i="6" s="1"/>
  <c r="K7" i="6"/>
  <c r="K8" i="6" s="1"/>
  <c r="J8" i="6" s="1"/>
  <c r="J7" i="6" s="1"/>
  <c r="G7" i="6"/>
  <c r="G8" i="6" s="1"/>
  <c r="F8" i="6" s="1"/>
  <c r="F7" i="6" s="1"/>
  <c r="C7" i="6"/>
  <c r="C8" i="6" s="1"/>
  <c r="B8" i="6" s="1"/>
  <c r="B7" i="6" s="1"/>
  <c r="B6" i="6" s="1"/>
  <c r="G9" i="4"/>
  <c r="F9" i="4"/>
  <c r="G8" i="4"/>
  <c r="F8" i="4"/>
  <c r="F10" i="4" s="1"/>
  <c r="E17" i="5"/>
  <c r="E16" i="5"/>
  <c r="E15" i="5"/>
  <c r="E14" i="5"/>
  <c r="D21" i="5"/>
  <c r="E20" i="5"/>
  <c r="E19" i="5"/>
  <c r="E18" i="5"/>
  <c r="E8" i="5"/>
  <c r="E7" i="5"/>
  <c r="E6" i="5"/>
  <c r="E5" i="5"/>
  <c r="E4" i="5"/>
  <c r="R25" i="8" l="1"/>
  <c r="E25" i="8"/>
  <c r="I25" i="8"/>
  <c r="M25" i="8"/>
  <c r="Q25" i="8"/>
  <c r="F25" i="8"/>
  <c r="J25" i="8"/>
  <c r="N25" i="8"/>
  <c r="H25" i="8"/>
  <c r="L25" i="8"/>
  <c r="D25" i="8"/>
  <c r="N34" i="8" s="1"/>
  <c r="K25" i="8"/>
  <c r="P25" i="8"/>
  <c r="O25" i="8"/>
  <c r="G25" i="8"/>
  <c r="L6" i="7"/>
  <c r="L7" i="7"/>
  <c r="L8" i="7" s="1"/>
  <c r="G10" i="4"/>
  <c r="E21" i="5"/>
  <c r="C21" i="5" s="1"/>
  <c r="F13" i="3"/>
  <c r="G13" i="3"/>
  <c r="E13" i="3"/>
  <c r="G12" i="3"/>
  <c r="G11" i="3"/>
  <c r="G10" i="3"/>
  <c r="G9" i="3"/>
  <c r="G8" i="3"/>
  <c r="G7" i="3"/>
  <c r="G5" i="3"/>
  <c r="E12" i="3"/>
  <c r="E11" i="3"/>
  <c r="E10" i="3"/>
  <c r="E9" i="3"/>
  <c r="E8" i="3"/>
  <c r="E7" i="3"/>
  <c r="E6" i="3"/>
  <c r="G6" i="3" s="1"/>
  <c r="E5" i="3"/>
  <c r="E4" i="3"/>
  <c r="G4" i="3" s="1"/>
  <c r="C5" i="4"/>
  <c r="C7" i="4" s="1"/>
  <c r="C9" i="4" s="1"/>
  <c r="C11" i="4" s="1"/>
  <c r="C13" i="4" s="1"/>
  <c r="L4" i="1"/>
  <c r="G6" i="1"/>
  <c r="O20" i="1"/>
  <c r="P19" i="1"/>
  <c r="P18" i="1"/>
  <c r="P17" i="1"/>
  <c r="O15" i="1"/>
  <c r="P15" i="1" s="1"/>
  <c r="O14" i="1"/>
  <c r="P14" i="1" s="1"/>
  <c r="O13" i="1"/>
  <c r="P13" i="1" s="1"/>
  <c r="O12" i="1"/>
  <c r="P12" i="1" s="1"/>
  <c r="K20" i="1"/>
  <c r="L19" i="1"/>
  <c r="L18" i="1"/>
  <c r="L17" i="1"/>
  <c r="K15" i="1"/>
  <c r="L15" i="1" s="1"/>
  <c r="K14" i="1"/>
  <c r="L14" i="1" s="1"/>
  <c r="K13" i="1"/>
  <c r="L13" i="1" s="1"/>
  <c r="K12" i="1"/>
  <c r="L12" i="1" s="1"/>
  <c r="G20" i="1"/>
  <c r="H19" i="1"/>
  <c r="H18" i="1"/>
  <c r="H17" i="1"/>
  <c r="G15" i="1"/>
  <c r="H15" i="1" s="1"/>
  <c r="G14" i="1"/>
  <c r="H14" i="1" s="1"/>
  <c r="G13" i="1"/>
  <c r="H13" i="1" s="1"/>
  <c r="G12" i="1"/>
  <c r="H12" i="1" s="1"/>
  <c r="C20" i="1"/>
  <c r="D19" i="1"/>
  <c r="D18" i="1"/>
  <c r="D17" i="1"/>
  <c r="C15" i="1"/>
  <c r="D15" i="1" s="1"/>
  <c r="C14" i="1"/>
  <c r="D14" i="1" s="1"/>
  <c r="C13" i="1"/>
  <c r="D13" i="1" s="1"/>
  <c r="C12" i="1"/>
  <c r="D12" i="1" s="1"/>
  <c r="B6" i="1"/>
  <c r="B8" i="1" s="1"/>
  <c r="F34" i="8" l="1"/>
  <c r="M34" i="8"/>
  <c r="E34" i="8"/>
  <c r="Q34" i="8"/>
  <c r="I34" i="8"/>
  <c r="J34" i="8"/>
  <c r="P34" i="8"/>
  <c r="H34" i="8"/>
  <c r="O34" i="8"/>
  <c r="G34" i="8"/>
  <c r="R34" i="8"/>
  <c r="L34" i="8"/>
  <c r="D34" i="8"/>
  <c r="K34" i="8"/>
  <c r="N8" i="7"/>
  <c r="G9" i="7"/>
  <c r="S12" i="7" s="1"/>
  <c r="S14" i="7" s="1"/>
  <c r="N7" i="7"/>
  <c r="N6" i="7"/>
  <c r="N5" i="7"/>
  <c r="N4" i="7"/>
  <c r="G7" i="1"/>
  <c r="D20" i="1"/>
  <c r="L5" i="1"/>
  <c r="L7" i="1" s="1"/>
  <c r="L8" i="1" s="1"/>
  <c r="P20" i="1"/>
  <c r="L20" i="1"/>
  <c r="H20" i="1"/>
  <c r="P16" i="1"/>
  <c r="L16" i="1"/>
  <c r="H16" i="1"/>
  <c r="O16" i="1"/>
  <c r="K16" i="1"/>
  <c r="G16" i="1"/>
  <c r="D16" i="1"/>
  <c r="C16" i="1"/>
  <c r="P43" i="8" l="1"/>
  <c r="O43" i="8"/>
  <c r="J43" i="8"/>
  <c r="I43" i="8"/>
  <c r="F43" i="8"/>
  <c r="E43" i="8"/>
  <c r="M43" i="8"/>
  <c r="K43" i="8"/>
  <c r="L43" i="8"/>
  <c r="G43" i="8"/>
  <c r="H43" i="8"/>
  <c r="N43" i="8"/>
  <c r="R43" i="8"/>
  <c r="D43" i="8"/>
  <c r="Q43" i="8"/>
  <c r="D21" i="1"/>
  <c r="L6" i="1"/>
  <c r="N5" i="1" s="1"/>
  <c r="L21" i="1"/>
  <c r="H21" i="1"/>
  <c r="P21" i="1"/>
  <c r="L52" i="8" l="1"/>
  <c r="K52" i="8"/>
  <c r="O52" i="8"/>
  <c r="D52" i="8"/>
  <c r="D61" i="8" s="1"/>
  <c r="H52" i="8"/>
  <c r="I52" i="8"/>
  <c r="N52" i="8"/>
  <c r="E52" i="8"/>
  <c r="Q52" i="8"/>
  <c r="P52" i="8"/>
  <c r="J52" i="8"/>
  <c r="R52" i="8"/>
  <c r="G52" i="8"/>
  <c r="M52" i="8"/>
  <c r="F52" i="8"/>
  <c r="N6" i="1"/>
  <c r="N8" i="1"/>
  <c r="N4" i="1"/>
  <c r="N7" i="1"/>
  <c r="G8" i="1"/>
  <c r="S12" i="1" s="1"/>
  <c r="S14" i="1" s="1"/>
  <c r="H61" i="8" l="1"/>
  <c r="D70" i="8"/>
  <c r="D79" i="8" s="1"/>
  <c r="J61" i="8"/>
  <c r="G61" i="8"/>
  <c r="P61" i="8"/>
  <c r="M61" i="8"/>
  <c r="F61" i="8"/>
  <c r="O61" i="8"/>
  <c r="L61" i="8"/>
  <c r="R61" i="8"/>
  <c r="N61" i="8"/>
  <c r="Q61" i="8"/>
  <c r="K61" i="8"/>
  <c r="I61" i="8"/>
  <c r="E61" i="8"/>
  <c r="D88" i="8" l="1"/>
  <c r="D97" i="8" s="1"/>
  <c r="D106" i="8" s="1"/>
  <c r="I70" i="8"/>
  <c r="Q70" i="8"/>
  <c r="O70" i="8"/>
  <c r="K70" i="8"/>
  <c r="L70" i="8"/>
  <c r="F70" i="8"/>
  <c r="J70" i="8"/>
  <c r="G70" i="8"/>
  <c r="E70" i="8"/>
  <c r="M70" i="8"/>
  <c r="R70" i="8"/>
  <c r="H70" i="8"/>
  <c r="N70" i="8"/>
  <c r="P70" i="8"/>
  <c r="K79" i="8" l="1"/>
  <c r="P79" i="8"/>
  <c r="D115" i="8"/>
  <c r="D124" i="8" s="1"/>
  <c r="D133" i="8" s="1"/>
  <c r="D142" i="8" s="1"/>
  <c r="D151" i="8" s="1"/>
  <c r="D160" i="8" s="1"/>
  <c r="N79" i="8"/>
  <c r="H79" i="8"/>
  <c r="E79" i="8"/>
  <c r="E88" i="8" s="1"/>
  <c r="G79" i="8"/>
  <c r="F79" i="8"/>
  <c r="F88" i="8" s="1"/>
  <c r="F97" i="8" s="1"/>
  <c r="R79" i="8"/>
  <c r="M79" i="8"/>
  <c r="I79" i="8"/>
  <c r="E97" i="8"/>
  <c r="E106" i="8" s="1"/>
  <c r="E115" i="8" s="1"/>
  <c r="Q79" i="8"/>
  <c r="J79" i="8"/>
  <c r="O79" i="8"/>
  <c r="L79" i="8"/>
  <c r="L88" i="8" l="1"/>
  <c r="J88" i="8"/>
  <c r="E124" i="8"/>
  <c r="E133" i="8" s="1"/>
  <c r="E142" i="8" s="1"/>
  <c r="E151" i="8" s="1"/>
  <c r="E160" i="8" s="1"/>
  <c r="O88" i="8"/>
  <c r="Q88" i="8"/>
  <c r="I88" i="8"/>
  <c r="N88" i="8"/>
  <c r="G88" i="8"/>
  <c r="G97" i="8" s="1"/>
  <c r="G106" i="8" s="1"/>
  <c r="K88" i="8"/>
  <c r="M88" i="8"/>
  <c r="R88" i="8"/>
  <c r="F106" i="8"/>
  <c r="F115" i="8" s="1"/>
  <c r="F124" i="8" s="1"/>
  <c r="H88" i="8"/>
  <c r="P88" i="8"/>
  <c r="F133" i="8" l="1"/>
  <c r="F142" i="8" s="1"/>
  <c r="F151" i="8" s="1"/>
  <c r="F160" i="8" s="1"/>
  <c r="H97" i="8"/>
  <c r="H106" i="8" s="1"/>
  <c r="H115" i="8" s="1"/>
  <c r="P97" i="8"/>
  <c r="R97" i="8"/>
  <c r="M97" i="8"/>
  <c r="K97" i="8"/>
  <c r="N97" i="8"/>
  <c r="O97" i="8"/>
  <c r="I97" i="8"/>
  <c r="Q97" i="8"/>
  <c r="G115" i="8"/>
  <c r="G124" i="8" s="1"/>
  <c r="G133" i="8" s="1"/>
  <c r="G142" i="8" s="1"/>
  <c r="G151" i="8" s="1"/>
  <c r="G160" i="8" s="1"/>
  <c r="J97" i="8"/>
  <c r="L97" i="8"/>
  <c r="I106" i="8" l="1"/>
  <c r="I115" i="8" s="1"/>
  <c r="I124" i="8" s="1"/>
  <c r="L106" i="8"/>
  <c r="J106" i="8"/>
  <c r="J115" i="8" s="1"/>
  <c r="J124" i="8" s="1"/>
  <c r="O106" i="8"/>
  <c r="K106" i="8"/>
  <c r="R106" i="8"/>
  <c r="Q106" i="8"/>
  <c r="P106" i="8"/>
  <c r="N106" i="8"/>
  <c r="M106" i="8"/>
  <c r="H124" i="8"/>
  <c r="H133" i="8" s="1"/>
  <c r="H142" i="8" s="1"/>
  <c r="H151" i="8" s="1"/>
  <c r="H160" i="8" s="1"/>
  <c r="M115" i="8" l="1"/>
  <c r="L115" i="8"/>
  <c r="K115" i="8"/>
  <c r="K124" i="8" s="1"/>
  <c r="N115" i="8"/>
  <c r="P115" i="8"/>
  <c r="J133" i="8"/>
  <c r="R115" i="8"/>
  <c r="O115" i="8"/>
  <c r="Q115" i="8"/>
  <c r="I133" i="8"/>
  <c r="I142" i="8" s="1"/>
  <c r="I151" i="8" s="1"/>
  <c r="I160" i="8" s="1"/>
  <c r="K133" i="8" l="1"/>
  <c r="K142" i="8" s="1"/>
  <c r="N124" i="8"/>
  <c r="L124" i="8"/>
  <c r="L133" i="8" s="1"/>
  <c r="L142" i="8" s="1"/>
  <c r="M124" i="8"/>
  <c r="Q124" i="8"/>
  <c r="O124" i="8"/>
  <c r="R124" i="8"/>
  <c r="P124" i="8"/>
  <c r="J142" i="8"/>
  <c r="J151" i="8" s="1"/>
  <c r="J160" i="8" s="1"/>
  <c r="N133" i="8" l="1"/>
  <c r="P133" i="8"/>
  <c r="O133" i="8"/>
  <c r="M133" i="8"/>
  <c r="Q133" i="8"/>
  <c r="R133" i="8"/>
  <c r="L151" i="8"/>
  <c r="K151" i="8"/>
  <c r="K160" i="8" s="1"/>
  <c r="O142" i="8" l="1"/>
  <c r="M142" i="8"/>
  <c r="N142" i="8"/>
  <c r="R142" i="8"/>
  <c r="Q142" i="8"/>
  <c r="P142" i="8"/>
  <c r="L160" i="8"/>
  <c r="N151" i="8" l="1"/>
  <c r="R151" i="8"/>
  <c r="Q151" i="8"/>
  <c r="P151" i="8"/>
  <c r="M151" i="8"/>
  <c r="O151" i="8"/>
  <c r="N160" i="8" l="1"/>
  <c r="M160" i="8"/>
  <c r="O160" i="8"/>
  <c r="Q160" i="8"/>
  <c r="R160" i="8"/>
  <c r="P160" i="8"/>
</calcChain>
</file>

<file path=xl/sharedStrings.xml><?xml version="1.0" encoding="utf-8"?>
<sst xmlns="http://schemas.openxmlformats.org/spreadsheetml/2006/main" count="551" uniqueCount="190">
  <si>
    <t>days</t>
  </si>
  <si>
    <t>Leaf Emergence Rate - LER</t>
  </si>
  <si>
    <t>Desired leaf-stage</t>
  </si>
  <si>
    <t>Rotation Length</t>
  </si>
  <si>
    <t>Platform size</t>
  </si>
  <si>
    <t>Ha's / day</t>
  </si>
  <si>
    <t>leaves</t>
  </si>
  <si>
    <t>Liveweight</t>
  </si>
  <si>
    <t>Concentrates</t>
  </si>
  <si>
    <t>Grass</t>
  </si>
  <si>
    <t>DM</t>
  </si>
  <si>
    <t>ME</t>
  </si>
  <si>
    <t>Production / head / day (litres)</t>
  </si>
  <si>
    <t>Weightgain / head / day (grams)</t>
  </si>
  <si>
    <t>Requirements / head / day</t>
  </si>
  <si>
    <t>Total</t>
  </si>
  <si>
    <t>Input</t>
  </si>
  <si>
    <t>Pre</t>
  </si>
  <si>
    <t>Post</t>
  </si>
  <si>
    <t>Available</t>
  </si>
  <si>
    <t>kg DM/ha</t>
  </si>
  <si>
    <t>Quick Rotation and Allocation Tool</t>
  </si>
  <si>
    <t>No. Animals  and Energy balance</t>
  </si>
  <si>
    <t>Est ME</t>
  </si>
  <si>
    <t>R2</t>
  </si>
  <si>
    <t>R1</t>
  </si>
  <si>
    <t>Grass Required</t>
  </si>
  <si>
    <t>Grass Available</t>
  </si>
  <si>
    <t>Potential silage area</t>
  </si>
  <si>
    <t>Req GR</t>
  </si>
  <si>
    <t>Surpls/Deficit</t>
  </si>
  <si>
    <t>Fertilizer</t>
  </si>
  <si>
    <t>Concentrates and/or supplements</t>
  </si>
  <si>
    <t>Rotation length if leaf-stage allows</t>
  </si>
  <si>
    <t>Rotation</t>
  </si>
  <si>
    <t>Grazing and Growth</t>
  </si>
  <si>
    <t>Pasture Balance</t>
  </si>
  <si>
    <t>Options</t>
  </si>
  <si>
    <t>% Required</t>
  </si>
  <si>
    <t>Livestock Groups</t>
  </si>
  <si>
    <t>Stocking rate - See notes tab</t>
  </si>
  <si>
    <t>- Production per animal</t>
  </si>
  <si>
    <t>- Number of animals</t>
  </si>
  <si>
    <t>- Platform hectares</t>
  </si>
  <si>
    <t>Pregnancy (Avg months rounded up)</t>
  </si>
  <si>
    <t>Avg Liveweight (kg's)</t>
  </si>
  <si>
    <t>Liveweight / head / day</t>
  </si>
  <si>
    <t>This figure is driven by mature liveweight, desired body condition score (BCS) and days to achieve desired BCS.</t>
  </si>
  <si>
    <t>Desired BCS</t>
  </si>
  <si>
    <t>Current BCS</t>
  </si>
  <si>
    <t>Difference</t>
  </si>
  <si>
    <t>% of LW for 1 BCS</t>
  </si>
  <si>
    <t>% of LW gain required</t>
  </si>
  <si>
    <t>Kg LW gain required</t>
  </si>
  <si>
    <t>Days to target</t>
  </si>
  <si>
    <t>g/day</t>
  </si>
  <si>
    <t>kg/day</t>
  </si>
  <si>
    <t>Platform Size</t>
  </si>
  <si>
    <t>Desired Leaf-Stage</t>
  </si>
  <si>
    <t>For most of the year the desired leaf-stage for a rye grass dominant pasture is 2.5 - 3 leaf.</t>
  </si>
  <si>
    <t>Through late spring and early summer the desired leaf-stage drops to 2 - 2.5 leaves to maintain quality during seeding.</t>
  </si>
  <si>
    <t>You should ignore leaf-stage and graze pastures immediately if canopy closure occurs or during a pest infestation.</t>
  </si>
  <si>
    <t>Average pasture cover</t>
  </si>
  <si>
    <t>hectares</t>
  </si>
  <si>
    <t>∆ in APC</t>
  </si>
  <si>
    <t>kgDM/day</t>
  </si>
  <si>
    <t>Current APC</t>
  </si>
  <si>
    <t>APC after</t>
  </si>
  <si>
    <t>Average Pasture Cover</t>
  </si>
  <si>
    <t>APC target</t>
  </si>
  <si>
    <t>NOTES REGARDING CALCULATOR</t>
  </si>
  <si>
    <t>Average Pasture Cover - APC</t>
  </si>
  <si>
    <t>Do you know what your APC targets are?</t>
  </si>
  <si>
    <t>Max production and quality for rye dominant pastures is around 2200kg DM / ha</t>
  </si>
  <si>
    <t>You can build it up a bit prior to calving and eat it down to 1600 - 1800 prior to break-even date.</t>
  </si>
  <si>
    <t>Break-even date is when your grass growth rates overtake the grass requirements, usually in spring.</t>
  </si>
  <si>
    <t>The 'APC after' figure in the calculator is the projected APC after as many days as the rotation figure.</t>
  </si>
  <si>
    <t>1 condition score in kg's = 10% of mature liveweight.</t>
  </si>
  <si>
    <t>Leaf Emergence Rate (LER)</t>
  </si>
  <si>
    <t>This is the number of days it takes for a leaf to fully emerge and is calculated by counting the leaves on a tiller and dividing it by the number of days since last grazed.</t>
  </si>
  <si>
    <t>Important things to note when determining LER or leaf-stage:</t>
  </si>
  <si>
    <t>- You cannot determine the number of leaves on a tiller without a remnant!</t>
  </si>
  <si>
    <t>- The emerging leaf will grow 1/3 bigger then the previous leaf.</t>
  </si>
  <si>
    <t>- Water and temperature drive LER.</t>
  </si>
  <si>
    <t>- Nutrients and sunlight drive leaf size or kg dry matter production.</t>
  </si>
  <si>
    <t>- LER can be as quick as 6-7 days in spring/summer and as slow as 30-40 days in winter.</t>
  </si>
  <si>
    <t>This would be the total grazing platform available within the next rotation.</t>
  </si>
  <si>
    <t>Increasing or decreasing stocking rate</t>
  </si>
  <si>
    <t>In the short term, this can be done by increasing or decreasing the following:</t>
  </si>
  <si>
    <t>Other supplements</t>
  </si>
  <si>
    <t>In order to keep the calculator to 1 page, only one line was allowed for other feed.</t>
  </si>
  <si>
    <t>If you are feeding multiple sources of feed, use the 'Supplement' tab to calculate the average ME and total DM to input into the Calculator.</t>
  </si>
  <si>
    <t>Average Supplement DM &amp; ME</t>
  </si>
  <si>
    <t>Remember to allow for waste and only input the effective kg DM being fed to the cows in the calculator.</t>
  </si>
  <si>
    <t>Feed type</t>
  </si>
  <si>
    <t>DM as fed</t>
  </si>
  <si>
    <t>% Waste</t>
  </si>
  <si>
    <t>Total ME</t>
  </si>
  <si>
    <t>Maize silage</t>
  </si>
  <si>
    <t>Turnips</t>
  </si>
  <si>
    <t>Teff</t>
  </si>
  <si>
    <t>Insert highlighted figures into calculator for DM &amp; ME</t>
  </si>
  <si>
    <t>NB!!! - ONLY FILL IN GREY CELLS</t>
  </si>
  <si>
    <t>A Team</t>
  </si>
  <si>
    <t>B Team</t>
  </si>
  <si>
    <t>Camp</t>
  </si>
  <si>
    <t>Ha's</t>
  </si>
  <si>
    <t>Total Kg DM</t>
  </si>
  <si>
    <t>Quick Average Pasture Cover Calculator</t>
  </si>
  <si>
    <t>Mature Liveweight</t>
  </si>
  <si>
    <t>Pre mating</t>
  </si>
  <si>
    <t>Post mating</t>
  </si>
  <si>
    <t>Target mating &amp; calving age</t>
  </si>
  <si>
    <t>Current weight</t>
  </si>
  <si>
    <t>Current age (months)</t>
  </si>
  <si>
    <t>Months</t>
  </si>
  <si>
    <t>Kg</t>
  </si>
  <si>
    <t xml:space="preserve">Target weight - 60% &amp; 90% </t>
  </si>
  <si>
    <t>kg/head</t>
  </si>
  <si>
    <t>Target LW gain</t>
  </si>
  <si>
    <t>g/head/day</t>
  </si>
  <si>
    <t>Required Daily LW Gain Mature Cows</t>
  </si>
  <si>
    <t>Required Daily LW Gain Heifers</t>
  </si>
  <si>
    <t>***Insert values in highlighted blocks into relevant 'Weightgain/head/day' cell in 'Calculator' tab.***</t>
  </si>
  <si>
    <t>There is a 'LW gain' tab to help calculate required LW gain / day for mature cows and heifers.</t>
  </si>
  <si>
    <t>Pivot area</t>
  </si>
  <si>
    <t>Desired area</t>
  </si>
  <si>
    <t>Metres on outside</t>
  </si>
  <si>
    <t>Circumference</t>
  </si>
  <si>
    <t>Radius</t>
  </si>
  <si>
    <t>Degrees of pivot</t>
  </si>
  <si>
    <t>Pivot Name</t>
  </si>
  <si>
    <t>ha's</t>
  </si>
  <si>
    <t>m</t>
  </si>
  <si>
    <t>°</t>
  </si>
  <si>
    <r>
      <t>Enter 360</t>
    </r>
    <r>
      <rPr>
        <b/>
        <sz val="11"/>
        <color rgb="FFFF0000"/>
        <rFont val="Tw Cen MT"/>
        <family val="2"/>
      </rPr>
      <t>°</t>
    </r>
    <r>
      <rPr>
        <b/>
        <i/>
        <sz val="11"/>
        <color rgb="FFFF0000"/>
        <rFont val="Calibri"/>
        <family val="2"/>
      </rPr>
      <t xml:space="preserve"> if full circle 180</t>
    </r>
    <r>
      <rPr>
        <b/>
        <sz val="11"/>
        <color rgb="FFFF0000"/>
        <rFont val="Tw Cen MT"/>
        <family val="2"/>
      </rPr>
      <t>°</t>
    </r>
    <r>
      <rPr>
        <b/>
        <i/>
        <sz val="11"/>
        <color rgb="FFFF0000"/>
        <rFont val="Calibri"/>
        <family val="2"/>
      </rPr>
      <t xml:space="preserve"> if half circle or best estimation if anything else in 'Degrees of pivot' cell.</t>
    </r>
  </si>
  <si>
    <t>Enter effective area of pivot in 'Pivot area' cell</t>
  </si>
  <si>
    <t>Farm APC</t>
  </si>
  <si>
    <t>Description</t>
  </si>
  <si>
    <t>Irrigated</t>
  </si>
  <si>
    <t>Dryland</t>
  </si>
  <si>
    <t>Camp Name</t>
  </si>
  <si>
    <t>Date In</t>
  </si>
  <si>
    <t>Reading In</t>
  </si>
  <si>
    <t>Date Out</t>
  </si>
  <si>
    <t>Reading Out</t>
  </si>
  <si>
    <t>Kg Removed</t>
  </si>
  <si>
    <t>Days last grazed</t>
  </si>
  <si>
    <t>Growth rate</t>
  </si>
  <si>
    <t>Current date</t>
  </si>
  <si>
    <t>Accumulated t</t>
  </si>
  <si>
    <t>Grazing 1</t>
  </si>
  <si>
    <t>Grazing 2</t>
  </si>
  <si>
    <t>Grazing 3</t>
  </si>
  <si>
    <t>Grazing 4</t>
  </si>
  <si>
    <t>Grazing 5</t>
  </si>
  <si>
    <t>Grazing 6</t>
  </si>
  <si>
    <t>Grazing 7</t>
  </si>
  <si>
    <t>Grazing 8</t>
  </si>
  <si>
    <t>Grazing 9</t>
  </si>
  <si>
    <t>Grazing 10</t>
  </si>
  <si>
    <t>Grazing 11</t>
  </si>
  <si>
    <t>Grazing 12</t>
  </si>
  <si>
    <t>Grazing 13</t>
  </si>
  <si>
    <t>Grazing 14</t>
  </si>
  <si>
    <t>Grazing 15</t>
  </si>
  <si>
    <t>Grazing 16</t>
  </si>
  <si>
    <t>Pivot 1</t>
  </si>
  <si>
    <t>Grazing Records</t>
  </si>
  <si>
    <t>Pivtot A</t>
  </si>
  <si>
    <t>Short 1</t>
  </si>
  <si>
    <t>Short 2</t>
  </si>
  <si>
    <t>Short 3</t>
  </si>
  <si>
    <t>Short 4</t>
  </si>
  <si>
    <t>Short 5</t>
  </si>
  <si>
    <t>Long 1</t>
  </si>
  <si>
    <t>Long 2</t>
  </si>
  <si>
    <t>Long 3</t>
  </si>
  <si>
    <t>Long 4</t>
  </si>
  <si>
    <t>Long 5</t>
  </si>
  <si>
    <t>Quick Growth Rate Calculator</t>
  </si>
  <si>
    <t>DLG</t>
  </si>
  <si>
    <t>GR</t>
  </si>
  <si>
    <t>Mid 1</t>
  </si>
  <si>
    <t>Mid 2</t>
  </si>
  <si>
    <t>Mid 3</t>
  </si>
  <si>
    <t>Mid 5</t>
  </si>
  <si>
    <t>Mid 4</t>
  </si>
  <si>
    <t>Residual</t>
  </si>
  <si>
    <t>Average Growth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</si>
</sst>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#,##0.0"/>
    <numFmt numFmtId="165" formatCode="#,##0_ ;\-#,##0\ "/>
    <numFmt numFmtId="171" formatCode="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11"/>
      <color theme="1"/>
      <name val="Tw Cen MT"/>
      <family val="2"/>
    </font>
    <font>
      <b/>
      <sz val="12"/>
      <color theme="1"/>
      <name val="Calibri"/>
      <family val="2"/>
      <scheme val="minor"/>
    </font>
    <font>
      <b/>
      <i/>
      <sz val="14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1"/>
      <color rgb="FFFF0000"/>
      <name val="Tw Cen MT"/>
      <family val="2"/>
    </font>
    <font>
      <b/>
      <i/>
      <sz val="11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79998168889431442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83">
    <xf numFmtId="0" fontId="0" fillId="0" borderId="0" xfId="0"/>
    <xf numFmtId="0" fontId="3" fillId="0" borderId="0" xfId="0" applyFont="1"/>
    <xf numFmtId="0" fontId="4" fillId="0" borderId="0" xfId="0" applyFont="1"/>
    <xf numFmtId="3" fontId="5" fillId="0" borderId="0" xfId="0" applyNumberFormat="1" applyFont="1"/>
    <xf numFmtId="3" fontId="0" fillId="0" borderId="0" xfId="0" applyNumberFormat="1"/>
    <xf numFmtId="164" fontId="0" fillId="0" borderId="0" xfId="0" applyNumberFormat="1"/>
    <xf numFmtId="3" fontId="0" fillId="0" borderId="1" xfId="0" applyNumberFormat="1" applyBorder="1"/>
    <xf numFmtId="164" fontId="0" fillId="0" borderId="1" xfId="0" applyNumberFormat="1" applyBorder="1"/>
    <xf numFmtId="3" fontId="0" fillId="0" borderId="3" xfId="0" applyNumberFormat="1" applyBorder="1"/>
    <xf numFmtId="3" fontId="0" fillId="0" borderId="4" xfId="0" applyNumberFormat="1" applyBorder="1"/>
    <xf numFmtId="3" fontId="0" fillId="0" borderId="8" xfId="0" applyNumberFormat="1" applyBorder="1"/>
    <xf numFmtId="3" fontId="0" fillId="0" borderId="9" xfId="0" applyNumberFormat="1" applyBorder="1"/>
    <xf numFmtId="3" fontId="0" fillId="0" borderId="10" xfId="0" applyNumberFormat="1" applyBorder="1"/>
    <xf numFmtId="3" fontId="0" fillId="0" borderId="11" xfId="0" applyNumberFormat="1" applyBorder="1"/>
    <xf numFmtId="3" fontId="2" fillId="0" borderId="17" xfId="0" applyNumberFormat="1" applyFont="1" applyBorder="1"/>
    <xf numFmtId="3" fontId="2" fillId="0" borderId="18" xfId="0" applyNumberFormat="1" applyFont="1" applyBorder="1"/>
    <xf numFmtId="164" fontId="0" fillId="0" borderId="19" xfId="0" applyNumberFormat="1" applyBorder="1"/>
    <xf numFmtId="3" fontId="0" fillId="0" borderId="20" xfId="0" applyNumberFormat="1" applyBorder="1"/>
    <xf numFmtId="3" fontId="0" fillId="0" borderId="22" xfId="0" applyNumberFormat="1" applyBorder="1"/>
    <xf numFmtId="3" fontId="0" fillId="0" borderId="7" xfId="0" applyNumberFormat="1" applyBorder="1"/>
    <xf numFmtId="3" fontId="0" fillId="0" borderId="24" xfId="0" applyNumberFormat="1" applyBorder="1"/>
    <xf numFmtId="3" fontId="2" fillId="0" borderId="16" xfId="0" applyNumberFormat="1" applyFont="1" applyBorder="1"/>
    <xf numFmtId="3" fontId="0" fillId="0" borderId="1" xfId="0" applyNumberFormat="1" applyFill="1" applyBorder="1"/>
    <xf numFmtId="3" fontId="0" fillId="0" borderId="29" xfId="0" applyNumberFormat="1" applyBorder="1"/>
    <xf numFmtId="3" fontId="0" fillId="0" borderId="6" xfId="0" applyNumberFormat="1" applyBorder="1"/>
    <xf numFmtId="3" fontId="0" fillId="0" borderId="5" xfId="0" applyNumberFormat="1" applyBorder="1"/>
    <xf numFmtId="3" fontId="0" fillId="0" borderId="32" xfId="0" applyNumberFormat="1" applyBorder="1"/>
    <xf numFmtId="3" fontId="0" fillId="0" borderId="0" xfId="0" applyNumberFormat="1" applyBorder="1"/>
    <xf numFmtId="3" fontId="0" fillId="0" borderId="33" xfId="0" applyNumberFormat="1" applyBorder="1"/>
    <xf numFmtId="9" fontId="0" fillId="0" borderId="34" xfId="1" applyFont="1" applyBorder="1"/>
    <xf numFmtId="3" fontId="0" fillId="0" borderId="35" xfId="0" applyNumberFormat="1" applyBorder="1"/>
    <xf numFmtId="0" fontId="0" fillId="0" borderId="0" xfId="0" quotePrefix="1"/>
    <xf numFmtId="3" fontId="6" fillId="0" borderId="10" xfId="0" applyNumberFormat="1" applyFont="1" applyBorder="1"/>
    <xf numFmtId="3" fontId="3" fillId="0" borderId="21" xfId="0" applyNumberFormat="1" applyFont="1" applyBorder="1" applyAlignment="1">
      <alignment horizontal="right"/>
    </xf>
    <xf numFmtId="164" fontId="0" fillId="0" borderId="31" xfId="0" applyNumberFormat="1" applyFill="1" applyBorder="1"/>
    <xf numFmtId="0" fontId="0" fillId="0" borderId="4" xfId="0" applyBorder="1"/>
    <xf numFmtId="0" fontId="0" fillId="0" borderId="9" xfId="0" applyBorder="1"/>
    <xf numFmtId="0" fontId="0" fillId="0" borderId="40" xfId="0" applyBorder="1"/>
    <xf numFmtId="9" fontId="0" fillId="0" borderId="8" xfId="0" applyNumberFormat="1" applyBorder="1"/>
    <xf numFmtId="9" fontId="0" fillId="0" borderId="40" xfId="1" applyFont="1" applyBorder="1"/>
    <xf numFmtId="0" fontId="0" fillId="0" borderId="10" xfId="0" applyBorder="1"/>
    <xf numFmtId="0" fontId="0" fillId="0" borderId="41" xfId="0" applyBorder="1"/>
    <xf numFmtId="0" fontId="0" fillId="0" borderId="3" xfId="0" applyBorder="1"/>
    <xf numFmtId="0" fontId="2" fillId="3" borderId="3" xfId="0" applyFont="1" applyFill="1" applyBorder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164" fontId="0" fillId="0" borderId="22" xfId="0" applyNumberFormat="1" applyBorder="1" applyAlignment="1">
      <alignment horizontal="center"/>
    </xf>
    <xf numFmtId="164" fontId="0" fillId="0" borderId="10" xfId="0" applyNumberFormat="1" applyBorder="1"/>
    <xf numFmtId="164" fontId="0" fillId="0" borderId="11" xfId="0" applyNumberFormat="1" applyBorder="1" applyAlignment="1">
      <alignment horizontal="center"/>
    </xf>
    <xf numFmtId="164" fontId="0" fillId="0" borderId="29" xfId="0" applyNumberFormat="1" applyBorder="1" applyAlignment="1">
      <alignment horizontal="center"/>
    </xf>
    <xf numFmtId="164" fontId="0" fillId="0" borderId="25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64" fontId="3" fillId="0" borderId="42" xfId="0" applyNumberFormat="1" applyFont="1" applyBorder="1"/>
    <xf numFmtId="164" fontId="3" fillId="0" borderId="30" xfId="0" applyNumberFormat="1" applyFont="1" applyBorder="1" applyAlignment="1">
      <alignment horizontal="center"/>
    </xf>
    <xf numFmtId="164" fontId="3" fillId="0" borderId="32" xfId="0" applyNumberFormat="1" applyFont="1" applyBorder="1" applyAlignment="1">
      <alignment horizontal="center"/>
    </xf>
    <xf numFmtId="0" fontId="8" fillId="0" borderId="0" xfId="0" applyFont="1"/>
    <xf numFmtId="3" fontId="0" fillId="2" borderId="1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3" fontId="0" fillId="2" borderId="7" xfId="0" applyNumberFormat="1" applyFill="1" applyBorder="1" applyProtection="1">
      <protection locked="0"/>
    </xf>
    <xf numFmtId="164" fontId="0" fillId="2" borderId="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3" fontId="0" fillId="2" borderId="23" xfId="0" applyNumberFormat="1" applyFill="1" applyBorder="1" applyProtection="1">
      <protection locked="0"/>
    </xf>
    <xf numFmtId="3" fontId="0" fillId="2" borderId="30" xfId="0" applyNumberFormat="1" applyFill="1" applyBorder="1" applyProtection="1">
      <protection locked="0"/>
    </xf>
    <xf numFmtId="3" fontId="0" fillId="2" borderId="1" xfId="0" applyNumberFormat="1" applyFill="1" applyBorder="1" applyProtection="1">
      <protection locked="0"/>
    </xf>
    <xf numFmtId="3" fontId="0" fillId="2" borderId="39" xfId="0" applyNumberFormat="1" applyFill="1" applyBorder="1" applyProtection="1">
      <protection locked="0"/>
    </xf>
    <xf numFmtId="3" fontId="0" fillId="2" borderId="22" xfId="0" applyNumberFormat="1" applyFill="1" applyBorder="1" applyProtection="1">
      <protection locked="0"/>
    </xf>
    <xf numFmtId="0" fontId="0" fillId="2" borderId="32" xfId="0" applyFill="1" applyBorder="1" applyProtection="1">
      <protection locked="0"/>
    </xf>
    <xf numFmtId="0" fontId="0" fillId="2" borderId="22" xfId="0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9" fontId="0" fillId="2" borderId="1" xfId="1" applyFont="1" applyFill="1" applyBorder="1" applyAlignment="1" applyProtection="1">
      <alignment horizontal="center"/>
      <protection locked="0"/>
    </xf>
    <xf numFmtId="164" fontId="0" fillId="2" borderId="25" xfId="0" applyNumberFormat="1" applyFill="1" applyBorder="1" applyAlignment="1" applyProtection="1">
      <alignment horizontal="center"/>
      <protection locked="0"/>
    </xf>
    <xf numFmtId="164" fontId="0" fillId="0" borderId="3" xfId="0" applyNumberFormat="1" applyFill="1" applyBorder="1" applyAlignment="1">
      <alignment horizontal="center"/>
    </xf>
    <xf numFmtId="3" fontId="0" fillId="2" borderId="1" xfId="0" applyNumberFormat="1" applyFill="1" applyBorder="1" applyAlignment="1" applyProtection="1">
      <alignment horizontal="center"/>
      <protection locked="0"/>
    </xf>
    <xf numFmtId="3" fontId="0" fillId="3" borderId="3" xfId="0" applyNumberFormat="1" applyFill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0" fontId="0" fillId="0" borderId="6" xfId="0" applyBorder="1"/>
    <xf numFmtId="0" fontId="0" fillId="0" borderId="8" xfId="0" applyBorder="1"/>
    <xf numFmtId="0" fontId="0" fillId="0" borderId="29" xfId="0" applyBorder="1"/>
    <xf numFmtId="1" fontId="0" fillId="3" borderId="3" xfId="0" applyNumberFormat="1" applyFill="1" applyBorder="1"/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43" xfId="0" applyBorder="1" applyAlignment="1">
      <alignment horizontal="center"/>
    </xf>
    <xf numFmtId="1" fontId="0" fillId="3" borderId="3" xfId="0" applyNumberFormat="1" applyFill="1" applyBorder="1" applyAlignment="1">
      <alignment horizontal="center"/>
    </xf>
    <xf numFmtId="1" fontId="0" fillId="3" borderId="15" xfId="0" applyNumberFormat="1" applyFill="1" applyBorder="1" applyAlignment="1">
      <alignment horizontal="center"/>
    </xf>
    <xf numFmtId="0" fontId="10" fillId="0" borderId="0" xfId="0" applyFont="1"/>
    <xf numFmtId="0" fontId="6" fillId="0" borderId="8" xfId="0" applyFont="1" applyBorder="1"/>
    <xf numFmtId="164" fontId="2" fillId="0" borderId="10" xfId="0" applyNumberFormat="1" applyFont="1" applyBorder="1"/>
    <xf numFmtId="3" fontId="2" fillId="0" borderId="3" xfId="0" applyNumberFormat="1" applyFont="1" applyBorder="1"/>
    <xf numFmtId="3" fontId="0" fillId="2" borderId="44" xfId="0" applyNumberFormat="1" applyFill="1" applyBorder="1" applyProtection="1">
      <protection locked="0"/>
    </xf>
    <xf numFmtId="164" fontId="0" fillId="2" borderId="45" xfId="0" applyNumberFormat="1" applyFill="1" applyBorder="1" applyProtection="1">
      <protection locked="0"/>
    </xf>
    <xf numFmtId="3" fontId="0" fillId="0" borderId="45" xfId="0" applyNumberFormat="1" applyFill="1" applyBorder="1"/>
    <xf numFmtId="3" fontId="0" fillId="2" borderId="45" xfId="0" applyNumberFormat="1" applyFill="1" applyBorder="1" applyProtection="1">
      <protection locked="0"/>
    </xf>
    <xf numFmtId="3" fontId="0" fillId="0" borderId="46" xfId="0" applyNumberFormat="1" applyFill="1" applyBorder="1"/>
    <xf numFmtId="3" fontId="2" fillId="0" borderId="47" xfId="0" applyNumberFormat="1" applyFont="1" applyBorder="1"/>
    <xf numFmtId="3" fontId="3" fillId="0" borderId="48" xfId="0" applyNumberFormat="1" applyFont="1" applyBorder="1" applyAlignment="1">
      <alignment horizontal="right"/>
    </xf>
    <xf numFmtId="3" fontId="0" fillId="0" borderId="45" xfId="0" applyNumberFormat="1" applyBorder="1"/>
    <xf numFmtId="3" fontId="0" fillId="2" borderId="49" xfId="0" applyNumberFormat="1" applyFill="1" applyBorder="1" applyProtection="1">
      <protection locked="0"/>
    </xf>
    <xf numFmtId="3" fontId="0" fillId="0" borderId="50" xfId="0" applyNumberFormat="1" applyBorder="1"/>
    <xf numFmtId="3" fontId="0" fillId="0" borderId="51" xfId="0" applyNumberFormat="1" applyBorder="1"/>
    <xf numFmtId="3" fontId="0" fillId="0" borderId="52" xfId="0" applyNumberFormat="1" applyBorder="1"/>
    <xf numFmtId="3" fontId="0" fillId="4" borderId="26" xfId="0" applyNumberFormat="1" applyFill="1" applyBorder="1"/>
    <xf numFmtId="3" fontId="0" fillId="4" borderId="27" xfId="0" applyNumberFormat="1" applyFill="1" applyBorder="1"/>
    <xf numFmtId="3" fontId="0" fillId="4" borderId="36" xfId="0" applyNumberFormat="1" applyFill="1" applyBorder="1"/>
    <xf numFmtId="3" fontId="0" fillId="4" borderId="28" xfId="0" applyNumberFormat="1" applyFill="1" applyBorder="1"/>
    <xf numFmtId="3" fontId="9" fillId="4" borderId="35" xfId="0" applyNumberFormat="1" applyFont="1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30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5" xfId="0" applyFill="1" applyBorder="1" applyProtection="1">
      <protection locked="0"/>
    </xf>
    <xf numFmtId="3" fontId="0" fillId="0" borderId="8" xfId="0" applyNumberFormat="1" applyBorder="1" applyAlignment="1"/>
    <xf numFmtId="3" fontId="3" fillId="0" borderId="42" xfId="0" applyNumberFormat="1" applyFont="1" applyBorder="1"/>
    <xf numFmtId="3" fontId="3" fillId="0" borderId="30" xfId="0" applyNumberFormat="1" applyFont="1" applyBorder="1"/>
    <xf numFmtId="3" fontId="0" fillId="0" borderId="20" xfId="0" applyNumberFormat="1" applyBorder="1" applyAlignment="1"/>
    <xf numFmtId="3" fontId="0" fillId="0" borderId="7" xfId="0" applyNumberFormat="1" applyFill="1" applyBorder="1"/>
    <xf numFmtId="3" fontId="0" fillId="0" borderId="54" xfId="0" applyNumberFormat="1" applyBorder="1" applyAlignment="1"/>
    <xf numFmtId="3" fontId="0" fillId="0" borderId="22" xfId="0" applyNumberFormat="1" applyFill="1" applyBorder="1"/>
    <xf numFmtId="164" fontId="0" fillId="0" borderId="35" xfId="0" applyNumberFormat="1" applyFill="1" applyBorder="1"/>
    <xf numFmtId="3" fontId="3" fillId="0" borderId="32" xfId="0" applyNumberFormat="1" applyFont="1" applyBorder="1"/>
    <xf numFmtId="17" fontId="0" fillId="0" borderId="0" xfId="0" applyNumberFormat="1"/>
    <xf numFmtId="0" fontId="0" fillId="2" borderId="1" xfId="0" applyFill="1" applyBorder="1"/>
    <xf numFmtId="16" fontId="0" fillId="0" borderId="0" xfId="0" applyNumberFormat="1"/>
    <xf numFmtId="15" fontId="0" fillId="0" borderId="0" xfId="0" applyNumberFormat="1"/>
    <xf numFmtId="15" fontId="0" fillId="2" borderId="1" xfId="0" applyNumberFormat="1" applyFill="1" applyBorder="1"/>
    <xf numFmtId="0" fontId="0" fillId="0" borderId="5" xfId="0" applyBorder="1"/>
    <xf numFmtId="15" fontId="0" fillId="2" borderId="30" xfId="0" applyNumberFormat="1" applyFill="1" applyBorder="1"/>
    <xf numFmtId="15" fontId="0" fillId="2" borderId="32" xfId="0" applyNumberFormat="1" applyFill="1" applyBorder="1"/>
    <xf numFmtId="0" fontId="0" fillId="0" borderId="0" xfId="0" applyBorder="1"/>
    <xf numFmtId="0" fontId="0" fillId="2" borderId="22" xfId="0" applyFill="1" applyBorder="1"/>
    <xf numFmtId="15" fontId="0" fillId="2" borderId="22" xfId="0" applyNumberFormat="1" applyFill="1" applyBorder="1"/>
    <xf numFmtId="165" fontId="0" fillId="0" borderId="0" xfId="2" applyNumberFormat="1" applyFont="1" applyBorder="1"/>
    <xf numFmtId="165" fontId="0" fillId="0" borderId="8" xfId="2" applyNumberFormat="1" applyFont="1" applyBorder="1"/>
    <xf numFmtId="0" fontId="0" fillId="0" borderId="11" xfId="0" applyBorder="1"/>
    <xf numFmtId="0" fontId="0" fillId="2" borderId="3" xfId="0" applyFill="1" applyBorder="1"/>
    <xf numFmtId="0" fontId="5" fillId="0" borderId="0" xfId="0" applyFont="1"/>
    <xf numFmtId="15" fontId="2" fillId="2" borderId="3" xfId="0" applyNumberFormat="1" applyFont="1" applyFill="1" applyBorder="1"/>
    <xf numFmtId="164" fontId="0" fillId="0" borderId="53" xfId="0" applyNumberFormat="1" applyFill="1" applyBorder="1"/>
    <xf numFmtId="3" fontId="0" fillId="0" borderId="0" xfId="0" applyNumberFormat="1" applyBorder="1" applyAlignment="1">
      <alignment horizontal="left"/>
    </xf>
    <xf numFmtId="3" fontId="0" fillId="0" borderId="8" xfId="0" applyNumberFormat="1" applyBorder="1" applyAlignment="1">
      <alignment horizontal="left"/>
    </xf>
    <xf numFmtId="3" fontId="2" fillId="0" borderId="4" xfId="0" applyNumberFormat="1" applyFont="1" applyBorder="1" applyAlignment="1">
      <alignment horizontal="center"/>
    </xf>
    <xf numFmtId="3" fontId="2" fillId="0" borderId="5" xfId="0" applyNumberFormat="1" applyFont="1" applyBorder="1" applyAlignment="1">
      <alignment horizontal="center"/>
    </xf>
    <xf numFmtId="3" fontId="2" fillId="0" borderId="6" xfId="0" applyNumberFormat="1" applyFont="1" applyBorder="1" applyAlignment="1">
      <alignment horizontal="center"/>
    </xf>
    <xf numFmtId="3" fontId="2" fillId="0" borderId="13" xfId="0" applyNumberFormat="1" applyFont="1" applyBorder="1" applyAlignment="1">
      <alignment horizontal="center"/>
    </xf>
    <xf numFmtId="3" fontId="2" fillId="0" borderId="14" xfId="0" applyNumberFormat="1" applyFont="1" applyBorder="1" applyAlignment="1">
      <alignment horizontal="center"/>
    </xf>
    <xf numFmtId="3" fontId="2" fillId="0" borderId="15" xfId="0" applyNumberFormat="1" applyFont="1" applyBorder="1" applyAlignment="1">
      <alignment horizontal="center"/>
    </xf>
    <xf numFmtId="3" fontId="0" fillId="0" borderId="5" xfId="0" applyNumberFormat="1" applyBorder="1" applyAlignment="1">
      <alignment horizontal="left"/>
    </xf>
    <xf numFmtId="3" fontId="0" fillId="0" borderId="6" xfId="0" applyNumberFormat="1" applyBorder="1" applyAlignment="1">
      <alignment horizontal="left"/>
    </xf>
    <xf numFmtId="3" fontId="0" fillId="0" borderId="11" xfId="0" applyNumberFormat="1" applyBorder="1" applyAlignment="1">
      <alignment horizontal="left"/>
    </xf>
    <xf numFmtId="3" fontId="0" fillId="0" borderId="29" xfId="0" applyNumberFormat="1" applyBorder="1" applyAlignment="1">
      <alignment horizontal="left"/>
    </xf>
    <xf numFmtId="3" fontId="2" fillId="2" borderId="14" xfId="0" applyNumberFormat="1" applyFont="1" applyFill="1" applyBorder="1" applyAlignment="1" applyProtection="1">
      <alignment horizontal="center"/>
      <protection locked="0"/>
    </xf>
    <xf numFmtId="3" fontId="0" fillId="2" borderId="14" xfId="0" applyNumberFormat="1" applyFill="1" applyBorder="1" applyAlignment="1" applyProtection="1">
      <alignment horizontal="center"/>
      <protection locked="0"/>
    </xf>
    <xf numFmtId="3" fontId="0" fillId="2" borderId="15" xfId="0" applyNumberFormat="1" applyFill="1" applyBorder="1" applyAlignment="1" applyProtection="1">
      <alignment horizontal="center"/>
      <protection locked="0"/>
    </xf>
    <xf numFmtId="3" fontId="2" fillId="2" borderId="13" xfId="0" applyNumberFormat="1" applyFont="1" applyFill="1" applyBorder="1" applyAlignment="1" applyProtection="1">
      <alignment horizontal="center"/>
      <protection locked="0"/>
    </xf>
    <xf numFmtId="3" fontId="2" fillId="2" borderId="13" xfId="0" quotePrefix="1" applyNumberFormat="1" applyFont="1" applyFill="1" applyBorder="1" applyAlignment="1" applyProtection="1">
      <alignment horizontal="center"/>
      <protection locked="0"/>
    </xf>
    <xf numFmtId="3" fontId="0" fillId="0" borderId="37" xfId="0" applyNumberFormat="1" applyBorder="1" applyAlignment="1">
      <alignment horizontal="left"/>
    </xf>
    <xf numFmtId="3" fontId="0" fillId="0" borderId="38" xfId="0" applyNumberFormat="1" applyBorder="1" applyAlignment="1">
      <alignment horizontal="left"/>
    </xf>
    <xf numFmtId="3" fontId="0" fillId="0" borderId="24" xfId="0" applyNumberFormat="1" applyBorder="1" applyAlignment="1">
      <alignment horizontal="left"/>
    </xf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164" fontId="7" fillId="0" borderId="16" xfId="0" applyNumberFormat="1" applyFont="1" applyBorder="1" applyAlignment="1">
      <alignment horizontal="center"/>
    </xf>
    <xf numFmtId="164" fontId="7" fillId="0" borderId="17" xfId="0" applyNumberFormat="1" applyFont="1" applyBorder="1" applyAlignment="1">
      <alignment horizontal="center"/>
    </xf>
    <xf numFmtId="164" fontId="7" fillId="0" borderId="18" xfId="0" applyNumberFormat="1" applyFont="1" applyBorder="1" applyAlignment="1">
      <alignment horizontal="center"/>
    </xf>
    <xf numFmtId="0" fontId="2" fillId="2" borderId="13" xfId="0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2" borderId="15" xfId="0" applyFont="1" applyFill="1" applyBorder="1" applyAlignment="1" applyProtection="1">
      <alignment horizontal="center"/>
      <protection locked="0"/>
    </xf>
    <xf numFmtId="0" fontId="2" fillId="0" borderId="0" xfId="0" applyFont="1" applyAlignment="1"/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164" fontId="3" fillId="0" borderId="42" xfId="0" applyNumberFormat="1" applyFont="1" applyFill="1" applyBorder="1" applyAlignment="1">
      <alignment horizontal="center"/>
    </xf>
    <xf numFmtId="164" fontId="3" fillId="0" borderId="30" xfId="0" applyNumberFormat="1" applyFont="1" applyFill="1" applyBorder="1" applyAlignment="1">
      <alignment horizontal="center"/>
    </xf>
    <xf numFmtId="164" fontId="3" fillId="0" borderId="32" xfId="0" applyNumberFormat="1" applyFont="1" applyFill="1" applyBorder="1" applyAlignment="1">
      <alignment horizontal="center"/>
    </xf>
    <xf numFmtId="171" fontId="0" fillId="0" borderId="22" xfId="0" applyNumberFormat="1" applyBorder="1"/>
    <xf numFmtId="3" fontId="0" fillId="0" borderId="25" xfId="0" applyNumberFormat="1" applyBorder="1"/>
    <xf numFmtId="171" fontId="0" fillId="0" borderId="33" xfId="0" applyNumberFormat="1" applyBorder="1"/>
    <xf numFmtId="0" fontId="0" fillId="0" borderId="16" xfId="0" applyBorder="1"/>
    <xf numFmtId="0" fontId="0" fillId="0" borderId="17" xfId="0" applyBorder="1"/>
    <xf numFmtId="2" fontId="0" fillId="3" borderId="18" xfId="0" applyNumberFormat="1" applyFill="1" applyBorder="1"/>
    <xf numFmtId="0" fontId="0" fillId="2" borderId="7" xfId="0" applyFill="1" applyBorder="1"/>
    <xf numFmtId="0" fontId="0" fillId="2" borderId="55" xfId="0" applyFill="1" applyBorder="1"/>
    <xf numFmtId="0" fontId="0" fillId="2" borderId="25" xfId="0" applyFill="1" applyBorder="1"/>
  </cellXfs>
  <cellStyles count="3">
    <cellStyle name="Comma" xfId="2" builtinId="3"/>
    <cellStyle name="Normal" xfId="0" builtinId="0"/>
    <cellStyle name="Percent" xfId="1" builtinId="5"/>
  </cellStyles>
  <dxfs count="2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microsoft.com/office/2011/relationships/webextension" Target="../webextensions/webextension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447675</xdr:colOff>
      <xdr:row>9</xdr:row>
      <xdr:rowOff>104775</xdr:rowOff>
    </xdr:from>
    <xdr:to>
      <xdr:col>13</xdr:col>
      <xdr:colOff>600075</xdr:colOff>
      <xdr:row>14</xdr:row>
      <xdr:rowOff>104542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AC4DC7-DFB8-4CE1-97F9-FC669C5F21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19875" y="1695450"/>
          <a:ext cx="3200400" cy="952267"/>
        </a:xfrm>
        <a:prstGeom prst="rect">
          <a:avLst/>
        </a:prstGeom>
        <a:ln w="12700">
          <a:solidFill>
            <a:sysClr val="windowText" lastClr="000000"/>
          </a:solidFill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28574</xdr:colOff>
      <xdr:row>16</xdr:row>
      <xdr:rowOff>19050</xdr:rowOff>
    </xdr:from>
    <xdr:to>
      <xdr:col>18</xdr:col>
      <xdr:colOff>605178</xdr:colOff>
      <xdr:row>20</xdr:row>
      <xdr:rowOff>190387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4D7E9C-521B-4E7B-A543-89D418893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91799" y="3181350"/>
          <a:ext cx="1729129" cy="933337"/>
        </a:xfrm>
        <a:prstGeom prst="rect">
          <a:avLst/>
        </a:prstGeom>
        <a:ln w="12700">
          <a:solidFill>
            <a:sysClr val="windowText" lastClr="000000"/>
          </a:solidFill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28574</xdr:colOff>
      <xdr:row>16</xdr:row>
      <xdr:rowOff>19050</xdr:rowOff>
    </xdr:from>
    <xdr:to>
      <xdr:col>18</xdr:col>
      <xdr:colOff>605178</xdr:colOff>
      <xdr:row>20</xdr:row>
      <xdr:rowOff>180862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94BB918-234E-40BD-91DA-6E0DAD87F6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91799" y="3181350"/>
          <a:ext cx="1729129" cy="933337"/>
        </a:xfrm>
        <a:prstGeom prst="rect">
          <a:avLst/>
        </a:prstGeom>
        <a:ln w="12700">
          <a:solidFill>
            <a:sysClr val="windowText" lastClr="000000"/>
          </a:solidFill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14</xdr:row>
      <xdr:rowOff>1</xdr:rowOff>
    </xdr:from>
    <xdr:to>
      <xdr:col>3</xdr:col>
      <xdr:colOff>9525</xdr:colOff>
      <xdr:row>18</xdr:row>
      <xdr:rowOff>57151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EB9D74-62B3-4D18-9DAF-7EAE906D1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476626"/>
          <a:ext cx="2571750" cy="819150"/>
        </a:xfrm>
        <a:prstGeom prst="rect">
          <a:avLst/>
        </a:prstGeom>
        <a:ln w="12700">
          <a:solidFill>
            <a:sysClr val="windowText" lastClr="000000"/>
          </a:solidFill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14</xdr:row>
      <xdr:rowOff>0</xdr:rowOff>
    </xdr:from>
    <xdr:to>
      <xdr:col>4</xdr:col>
      <xdr:colOff>838199</xdr:colOff>
      <xdr:row>20</xdr:row>
      <xdr:rowOff>112519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C10BCC-E754-4FF4-8F48-DC18E4F4FB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714625"/>
          <a:ext cx="4219574" cy="1255519"/>
        </a:xfrm>
        <a:prstGeom prst="rect">
          <a:avLst/>
        </a:prstGeom>
        <a:ln w="12700">
          <a:solidFill>
            <a:sysClr val="windowText" lastClr="000000"/>
          </a:solidFill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21</xdr:row>
      <xdr:rowOff>66675</xdr:rowOff>
    </xdr:from>
    <xdr:to>
      <xdr:col>6</xdr:col>
      <xdr:colOff>209550</xdr:colOff>
      <xdr:row>26</xdr:row>
      <xdr:rowOff>188719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A081AFF-08CB-4C09-861C-5D66DB5704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162300"/>
          <a:ext cx="4143375" cy="1074544"/>
        </a:xfrm>
        <a:prstGeom prst="rect">
          <a:avLst/>
        </a:prstGeom>
        <a:ln w="12700">
          <a:solidFill>
            <a:sysClr val="windowText" lastClr="000000"/>
          </a:solidFill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24</xdr:row>
      <xdr:rowOff>58378</xdr:rowOff>
    </xdr:from>
    <xdr:to>
      <xdr:col>15</xdr:col>
      <xdr:colOff>9525</xdr:colOff>
      <xdr:row>28</xdr:row>
      <xdr:rowOff>7744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AF55582-39B8-4E53-BA78-091CF570B5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86675" y="3496903"/>
          <a:ext cx="2390775" cy="711366"/>
        </a:xfrm>
        <a:prstGeom prst="rect">
          <a:avLst/>
        </a:prstGeom>
        <a:ln w="12700">
          <a:solidFill>
            <a:sysClr val="windowText" lastClr="000000"/>
          </a:solidFill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285750</xdr:colOff>
      <xdr:row>0</xdr:row>
      <xdr:rowOff>0</xdr:rowOff>
    </xdr:from>
    <xdr:to>
      <xdr:col>4</xdr:col>
      <xdr:colOff>695325</xdr:colOff>
      <xdr:row>6</xdr:row>
      <xdr:rowOff>123825</xdr:rowOff>
    </xdr:to>
    <mc:AlternateContent xmlns:mc="http://schemas.openxmlformats.org/markup-compatibility/2006">
      <mc:Choice xmlns:we="http://schemas.microsoft.com/office/webextensions/webextension/2010/11" Requires="we">
        <xdr:graphicFrame macro="">
          <xdr:nvGraphicFramePr>
            <xdr:cNvPr id="2" name="Add-in 1" title="Mini Calendar and Date Picker">
              <a:extLst>
                <a:ext uri="{FF2B5EF4-FFF2-40B4-BE49-F238E27FC236}">
                  <a16:creationId xmlns:a16="http://schemas.microsoft.com/office/drawing/2014/main" id="{23E146E6-1DDA-409B-BD6B-EBE1FEBCE83C}"/>
                </a:ext>
              </a:extLst>
            </xdr:cNvPr>
            <xdr:cNvGraphicFramePr>
              <a:graphicFrameLocks noGrp="1"/>
            </xdr:cNvGraphicFramePr>
          </xdr:nvGraphicFramePr>
          <xdr:xfrm>
            <a:off x="0" y="0"/>
            <a:ext cx="0" cy="0"/>
          </xdr:xfrm>
          <a:graphic>
            <a:graphicData uri="http://schemas.microsoft.com/office/webextensions/webextension/2010/11">
              <we:webextensionref xmlns:we="http://schemas.microsoft.com/office/webextensions/webextension/2010/11" xmlns:r="http://schemas.openxmlformats.org/officeDocument/2006/relationships" r:id="rId1"/>
            </a:graphicData>
          </a:graphic>
        </xdr:graphicFrame>
      </mc:Choice>
      <mc:Fallback>
        <xdr:pic>
          <xdr:nvPicPr>
            <xdr:cNvPr id="2" name="Add-in 1" title="Mini Calendar and Date Picker">
              <a:extLst>
                <a:ext uri="{FF2B5EF4-FFF2-40B4-BE49-F238E27FC236}">
                  <a16:creationId xmlns:a16="http://schemas.microsoft.com/office/drawing/2014/main" id="{23E146E6-1DDA-409B-BD6B-EBE1FEBCE83C}"/>
                </a:ext>
              </a:extLst>
            </xdr:cNvPr>
            <xdr:cNvPicPr/>
          </xdr:nvPicPr>
          <xdr:blipFill>
            <a:blip xmlns:r="http://schemas.openxmlformats.org/officeDocument/2006/relationships" r:embed="rId2"/>
            <a:stretch>
              <a:fillRect/>
            </a:stretch>
          </xdr:blipFill>
          <xdr:spPr>
            <a:prstGeom prst="rect">
              <a:avLst/>
            </a:prstGeom>
          </xdr:spPr>
        </xdr:pic>
      </mc:Fallback>
    </mc:AlternateContent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webextension1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webextensions/webextension1.xml><?xml version="1.0" encoding="utf-8"?>
<we:webextension xmlns:we="http://schemas.microsoft.com/office/webextensions/webextension/2010/11" id="{23E146E6-1DDA-409B-BD6B-EBE1FEBCE83C}">
  <we:reference id="wa102957665" version="1.3.0.0" store="en-US" storeType="OMEX"/>
  <we:alternateReferences>
    <we:reference id="WA102957665" version="1.3.0.0" store="WA102957665" storeType="OMEX"/>
  </we:alternateReferences>
  <we:properties>
    <we:property name="opt_cal_sys" value="1"/>
    <we:property name="opt_wn" value="false"/>
    <we:property name="opt_theme" value="3"/>
    <we:property name="opt_size" value="1"/>
    <we:property name="opt_month" value="&quot;2018-10-01&quot;"/>
  </we:properties>
  <we:bindings/>
  <we:snapshot xmlns:r="http://schemas.openxmlformats.org/officeDocument/2006/relationships" r:embed="rId1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2D8841-DF98-4930-A160-630B8B95475C}">
  <dimension ref="A1:B43"/>
  <sheetViews>
    <sheetView topLeftCell="A19" workbookViewId="0">
      <selection activeCell="B26" sqref="B26"/>
    </sheetView>
  </sheetViews>
  <sheetFormatPr defaultRowHeight="15" x14ac:dyDescent="0.25"/>
  <cols>
    <col min="1" max="1" width="2.85546875" customWidth="1"/>
    <col min="2" max="2" width="34.85546875" customWidth="1"/>
  </cols>
  <sheetData>
    <row r="1" spans="1:2" ht="18.75" x14ac:dyDescent="0.3">
      <c r="A1" s="2" t="s">
        <v>70</v>
      </c>
    </row>
    <row r="2" spans="1:2" ht="7.5" customHeight="1" x14ac:dyDescent="0.25"/>
    <row r="3" spans="1:2" ht="18.75" x14ac:dyDescent="0.3">
      <c r="A3" s="55" t="s">
        <v>102</v>
      </c>
    </row>
    <row r="4" spans="1:2" ht="5.25" customHeight="1" x14ac:dyDescent="0.25"/>
    <row r="5" spans="1:2" x14ac:dyDescent="0.25">
      <c r="A5" s="1" t="s">
        <v>78</v>
      </c>
    </row>
    <row r="6" spans="1:2" x14ac:dyDescent="0.25">
      <c r="A6" t="s">
        <v>79</v>
      </c>
    </row>
    <row r="7" spans="1:2" x14ac:dyDescent="0.25">
      <c r="A7" t="s">
        <v>80</v>
      </c>
    </row>
    <row r="8" spans="1:2" x14ac:dyDescent="0.25">
      <c r="B8" s="31" t="s">
        <v>81</v>
      </c>
    </row>
    <row r="9" spans="1:2" x14ac:dyDescent="0.25">
      <c r="B9" s="31" t="s">
        <v>82</v>
      </c>
    </row>
    <row r="10" spans="1:2" x14ac:dyDescent="0.25">
      <c r="B10" s="31" t="s">
        <v>83</v>
      </c>
    </row>
    <row r="11" spans="1:2" x14ac:dyDescent="0.25">
      <c r="B11" s="31" t="s">
        <v>84</v>
      </c>
    </row>
    <row r="12" spans="1:2" x14ac:dyDescent="0.25">
      <c r="B12" s="31" t="s">
        <v>85</v>
      </c>
    </row>
    <row r="14" spans="1:2" x14ac:dyDescent="0.25">
      <c r="A14" s="1" t="s">
        <v>57</v>
      </c>
    </row>
    <row r="15" spans="1:2" x14ac:dyDescent="0.25">
      <c r="A15" t="s">
        <v>86</v>
      </c>
    </row>
    <row r="17" spans="1:2" x14ac:dyDescent="0.25">
      <c r="A17" s="1" t="s">
        <v>58</v>
      </c>
    </row>
    <row r="18" spans="1:2" x14ac:dyDescent="0.25">
      <c r="A18" t="s">
        <v>59</v>
      </c>
    </row>
    <row r="19" spans="1:2" x14ac:dyDescent="0.25">
      <c r="A19" t="s">
        <v>60</v>
      </c>
    </row>
    <row r="20" spans="1:2" x14ac:dyDescent="0.25">
      <c r="A20" t="s">
        <v>61</v>
      </c>
    </row>
    <row r="22" spans="1:2" x14ac:dyDescent="0.25">
      <c r="A22" s="1" t="s">
        <v>87</v>
      </c>
    </row>
    <row r="23" spans="1:2" x14ac:dyDescent="0.25">
      <c r="A23" t="s">
        <v>88</v>
      </c>
    </row>
    <row r="24" spans="1:2" x14ac:dyDescent="0.25">
      <c r="B24" s="31" t="s">
        <v>41</v>
      </c>
    </row>
    <row r="25" spans="1:2" x14ac:dyDescent="0.25">
      <c r="B25" s="31" t="s">
        <v>42</v>
      </c>
    </row>
    <row r="26" spans="1:2" x14ac:dyDescent="0.25">
      <c r="B26" s="31" t="s">
        <v>43</v>
      </c>
    </row>
    <row r="28" spans="1:2" x14ac:dyDescent="0.25">
      <c r="A28" s="1" t="s">
        <v>46</v>
      </c>
    </row>
    <row r="29" spans="1:2" x14ac:dyDescent="0.25">
      <c r="A29" t="s">
        <v>47</v>
      </c>
    </row>
    <row r="30" spans="1:2" x14ac:dyDescent="0.25">
      <c r="A30" t="s">
        <v>77</v>
      </c>
    </row>
    <row r="31" spans="1:2" x14ac:dyDescent="0.25">
      <c r="A31" t="s">
        <v>124</v>
      </c>
    </row>
    <row r="33" spans="1:1" x14ac:dyDescent="0.25">
      <c r="A33" s="1" t="s">
        <v>71</v>
      </c>
    </row>
    <row r="34" spans="1:1" x14ac:dyDescent="0.25">
      <c r="A34" t="s">
        <v>72</v>
      </c>
    </row>
    <row r="35" spans="1:1" x14ac:dyDescent="0.25">
      <c r="A35" t="s">
        <v>73</v>
      </c>
    </row>
    <row r="36" spans="1:1" x14ac:dyDescent="0.25">
      <c r="A36" t="s">
        <v>74</v>
      </c>
    </row>
    <row r="37" spans="1:1" x14ac:dyDescent="0.25">
      <c r="A37" t="s">
        <v>75</v>
      </c>
    </row>
    <row r="38" spans="1:1" x14ac:dyDescent="0.25">
      <c r="A38" t="s">
        <v>76</v>
      </c>
    </row>
    <row r="40" spans="1:1" x14ac:dyDescent="0.25">
      <c r="A40" s="1" t="s">
        <v>89</v>
      </c>
    </row>
    <row r="41" spans="1:1" x14ac:dyDescent="0.25">
      <c r="A41" t="s">
        <v>90</v>
      </c>
    </row>
    <row r="42" spans="1:1" x14ac:dyDescent="0.25">
      <c r="A42" t="s">
        <v>91</v>
      </c>
    </row>
    <row r="43" spans="1:1" x14ac:dyDescent="0.25">
      <c r="A43" t="s">
        <v>93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68CA61-283D-400A-99FF-90061D070015}">
  <dimension ref="A1:S21"/>
  <sheetViews>
    <sheetView workbookViewId="0">
      <selection activeCell="C5" sqref="C5"/>
    </sheetView>
  </sheetViews>
  <sheetFormatPr defaultRowHeight="15" x14ac:dyDescent="0.25"/>
  <cols>
    <col min="1" max="1" width="32.7109375" style="4" customWidth="1"/>
    <col min="2" max="4" width="9.7109375" style="4" customWidth="1"/>
    <col min="5" max="5" width="2.28515625" style="4" customWidth="1"/>
    <col min="6" max="8" width="9.7109375" style="4" customWidth="1"/>
    <col min="9" max="9" width="2.28515625" style="4" customWidth="1"/>
    <col min="10" max="12" width="9.7109375" style="4" customWidth="1"/>
    <col min="13" max="13" width="2.28515625" style="4" customWidth="1"/>
    <col min="14" max="16" width="9.7109375" style="4" customWidth="1"/>
    <col min="17" max="17" width="2.28515625" style="4" customWidth="1"/>
    <col min="18" max="18" width="17.28515625" style="4" customWidth="1"/>
    <col min="19" max="16384" width="9.140625" style="4"/>
  </cols>
  <sheetData>
    <row r="1" spans="1:19" ht="21" x14ac:dyDescent="0.35">
      <c r="A1" s="3" t="s">
        <v>21</v>
      </c>
    </row>
    <row r="2" spans="1:19" ht="3.75" customHeight="1" thickBot="1" x14ac:dyDescent="0.4">
      <c r="A2" s="3"/>
    </row>
    <row r="3" spans="1:19" ht="15.75" thickBot="1" x14ac:dyDescent="0.3">
      <c r="A3" s="89" t="s">
        <v>138</v>
      </c>
      <c r="B3" s="140" t="s">
        <v>34</v>
      </c>
      <c r="C3" s="141"/>
      <c r="D3" s="142"/>
      <c r="F3" s="140" t="s">
        <v>35</v>
      </c>
      <c r="G3" s="141"/>
      <c r="H3" s="142"/>
      <c r="J3" s="143" t="s">
        <v>36</v>
      </c>
      <c r="K3" s="144"/>
      <c r="L3" s="145"/>
      <c r="N3" s="143" t="s">
        <v>37</v>
      </c>
      <c r="O3" s="144"/>
      <c r="P3" s="144"/>
      <c r="Q3" s="144"/>
      <c r="R3" s="144"/>
      <c r="S3" s="145"/>
    </row>
    <row r="4" spans="1:19" x14ac:dyDescent="0.25">
      <c r="B4" s="112" t="s">
        <v>139</v>
      </c>
      <c r="C4" s="113" t="s">
        <v>140</v>
      </c>
      <c r="D4" s="24"/>
      <c r="F4" s="9"/>
      <c r="G4" s="113" t="s">
        <v>139</v>
      </c>
      <c r="H4" s="119" t="s">
        <v>140</v>
      </c>
      <c r="J4" s="9" t="s">
        <v>26</v>
      </c>
      <c r="K4" s="25"/>
      <c r="L4" s="26">
        <f>B21*C19+F21*G19+J21*K19+N21*O19</f>
        <v>16320</v>
      </c>
      <c r="N4" s="102" t="str">
        <f>IF($L$6&gt;1,"Increase","Decrease")</f>
        <v>Increase</v>
      </c>
      <c r="O4" s="146" t="s">
        <v>40</v>
      </c>
      <c r="P4" s="146"/>
      <c r="Q4" s="146"/>
      <c r="R4" s="146"/>
      <c r="S4" s="147"/>
    </row>
    <row r="5" spans="1:19" ht="15.75" thickBot="1" x14ac:dyDescent="0.3">
      <c r="A5" s="27" t="s">
        <v>1</v>
      </c>
      <c r="B5" s="58">
        <v>8</v>
      </c>
      <c r="C5" s="63">
        <v>12</v>
      </c>
      <c r="D5" s="111" t="s">
        <v>0</v>
      </c>
      <c r="F5" s="11" t="s">
        <v>17</v>
      </c>
      <c r="G5" s="63">
        <v>3000</v>
      </c>
      <c r="H5" s="65">
        <v>0</v>
      </c>
      <c r="J5" s="11" t="s">
        <v>27</v>
      </c>
      <c r="K5" s="27"/>
      <c r="L5" s="28">
        <f>G7*B9+C9*H7</f>
        <v>19950</v>
      </c>
      <c r="N5" s="103" t="str">
        <f>IF($L$6&lt;1,"Increase","Decrease")</f>
        <v>Decrease</v>
      </c>
      <c r="O5" s="138" t="s">
        <v>32</v>
      </c>
      <c r="P5" s="138"/>
      <c r="Q5" s="138"/>
      <c r="R5" s="138"/>
      <c r="S5" s="139"/>
    </row>
    <row r="6" spans="1:19" ht="15.75" thickBot="1" x14ac:dyDescent="0.3">
      <c r="A6" s="11" t="s">
        <v>2</v>
      </c>
      <c r="B6" s="57">
        <v>2.5</v>
      </c>
      <c r="C6" s="91">
        <v>2.5</v>
      </c>
      <c r="D6" s="114" t="s">
        <v>6</v>
      </c>
      <c r="F6" s="11" t="s">
        <v>18</v>
      </c>
      <c r="G6" s="63">
        <v>1600</v>
      </c>
      <c r="H6" s="65">
        <v>0</v>
      </c>
      <c r="J6" s="11" t="s">
        <v>30</v>
      </c>
      <c r="K6" s="27"/>
      <c r="L6" s="8">
        <f>L5-L4</f>
        <v>3630</v>
      </c>
      <c r="N6" s="103" t="str">
        <f>IF($L$6&lt;1,"Increase","Decrease")</f>
        <v>Decrease</v>
      </c>
      <c r="O6" s="138" t="s">
        <v>31</v>
      </c>
      <c r="P6" s="138"/>
      <c r="Q6" s="138"/>
      <c r="R6" s="138"/>
      <c r="S6" s="139"/>
    </row>
    <row r="7" spans="1:19" x14ac:dyDescent="0.25">
      <c r="A7" s="11" t="s">
        <v>3</v>
      </c>
      <c r="B7" s="115">
        <f>B5*B6</f>
        <v>20</v>
      </c>
      <c r="C7" s="92">
        <f>C5*C6</f>
        <v>30</v>
      </c>
      <c r="D7" s="114" t="s">
        <v>0</v>
      </c>
      <c r="F7" s="11" t="s">
        <v>19</v>
      </c>
      <c r="G7" s="22">
        <f>G5-G6</f>
        <v>1400</v>
      </c>
      <c r="H7" s="117">
        <f>H5-H6</f>
        <v>0</v>
      </c>
      <c r="J7" s="11" t="s">
        <v>38</v>
      </c>
      <c r="K7" s="27"/>
      <c r="L7" s="29">
        <f>L4/L5</f>
        <v>0.81804511278195491</v>
      </c>
      <c r="N7" s="104" t="str">
        <f>IF($L$6&gt;1,"Increase","Decrease")</f>
        <v>Increase</v>
      </c>
      <c r="O7" s="138" t="s">
        <v>62</v>
      </c>
      <c r="P7" s="138"/>
      <c r="Q7" s="138"/>
      <c r="R7" s="138"/>
      <c r="S7" s="139"/>
    </row>
    <row r="8" spans="1:19" ht="15.75" thickBot="1" x14ac:dyDescent="0.3">
      <c r="A8" s="11" t="s">
        <v>4</v>
      </c>
      <c r="B8" s="58">
        <v>285</v>
      </c>
      <c r="C8" s="93">
        <v>0</v>
      </c>
      <c r="D8" s="114" t="s">
        <v>63</v>
      </c>
      <c r="F8" s="11" t="s">
        <v>29</v>
      </c>
      <c r="G8" s="6">
        <f>G7/B7</f>
        <v>70</v>
      </c>
      <c r="H8" s="18">
        <f>H7/C7</f>
        <v>0</v>
      </c>
      <c r="J8" s="12" t="s">
        <v>28</v>
      </c>
      <c r="K8" s="13"/>
      <c r="L8" s="30">
        <f>IF(L7&lt;1,B8*(1-L7),0)</f>
        <v>51.857142857142854</v>
      </c>
      <c r="N8" s="105" t="str">
        <f>IF($L$6&gt;1,"Increase","Decrease")</f>
        <v>Increase</v>
      </c>
      <c r="O8" s="148" t="s">
        <v>33</v>
      </c>
      <c r="P8" s="148"/>
      <c r="Q8" s="148"/>
      <c r="R8" s="148"/>
      <c r="S8" s="149"/>
    </row>
    <row r="9" spans="1:19" ht="15.75" thickBot="1" x14ac:dyDescent="0.3">
      <c r="A9" s="11" t="s">
        <v>5</v>
      </c>
      <c r="B9" s="137">
        <f>B8/B7</f>
        <v>14.25</v>
      </c>
      <c r="C9" s="94">
        <f>C8/C7</f>
        <v>0</v>
      </c>
      <c r="D9" s="116" t="s">
        <v>63</v>
      </c>
      <c r="F9" s="32" t="s">
        <v>64</v>
      </c>
      <c r="G9" s="34">
        <f>L6/B8</f>
        <v>12.736842105263158</v>
      </c>
      <c r="H9" s="118"/>
    </row>
    <row r="10" spans="1:19" ht="15.75" thickBot="1" x14ac:dyDescent="0.3">
      <c r="A10" s="100" t="s">
        <v>39</v>
      </c>
      <c r="B10" s="150" t="s">
        <v>103</v>
      </c>
      <c r="C10" s="151"/>
      <c r="D10" s="152"/>
      <c r="F10" s="153" t="s">
        <v>104</v>
      </c>
      <c r="G10" s="151"/>
      <c r="H10" s="152"/>
      <c r="J10" s="154" t="s">
        <v>24</v>
      </c>
      <c r="K10" s="151"/>
      <c r="L10" s="152"/>
      <c r="N10" s="154" t="s">
        <v>25</v>
      </c>
      <c r="O10" s="151"/>
      <c r="P10" s="152"/>
      <c r="R10" s="143" t="s">
        <v>68</v>
      </c>
      <c r="S10" s="145"/>
    </row>
    <row r="11" spans="1:19" ht="15.75" thickBot="1" x14ac:dyDescent="0.3">
      <c r="A11" s="100"/>
      <c r="B11" s="95" t="s">
        <v>16</v>
      </c>
      <c r="C11" s="14" t="s">
        <v>10</v>
      </c>
      <c r="D11" s="15" t="s">
        <v>11</v>
      </c>
      <c r="F11" s="21" t="s">
        <v>16</v>
      </c>
      <c r="G11" s="14" t="s">
        <v>10</v>
      </c>
      <c r="H11" s="15" t="s">
        <v>11</v>
      </c>
      <c r="J11" s="21" t="s">
        <v>16</v>
      </c>
      <c r="K11" s="14" t="s">
        <v>10</v>
      </c>
      <c r="L11" s="15" t="s">
        <v>11</v>
      </c>
      <c r="N11" s="21" t="s">
        <v>16</v>
      </c>
      <c r="O11" s="14" t="s">
        <v>10</v>
      </c>
      <c r="P11" s="15" t="s">
        <v>11</v>
      </c>
      <c r="R11" s="9" t="s">
        <v>66</v>
      </c>
      <c r="S11" s="64">
        <v>2250</v>
      </c>
    </row>
    <row r="12" spans="1:19" x14ac:dyDescent="0.25">
      <c r="A12" s="100" t="s">
        <v>45</v>
      </c>
      <c r="B12" s="90">
        <v>450</v>
      </c>
      <c r="C12" s="16">
        <f>B12/100+1</f>
        <v>5.5</v>
      </c>
      <c r="D12" s="17">
        <f>C12*10.5</f>
        <v>57.75</v>
      </c>
      <c r="F12" s="56">
        <v>350</v>
      </c>
      <c r="G12" s="16">
        <f>F12/100+1</f>
        <v>4.5</v>
      </c>
      <c r="H12" s="17">
        <f>G12*10.5</f>
        <v>47.25</v>
      </c>
      <c r="J12" s="56">
        <v>300</v>
      </c>
      <c r="K12" s="16">
        <f>J12/100+1</f>
        <v>4</v>
      </c>
      <c r="L12" s="17">
        <f>K12*10.5</f>
        <v>42</v>
      </c>
      <c r="N12" s="56">
        <v>150</v>
      </c>
      <c r="O12" s="16">
        <f>N12/100+1</f>
        <v>2.5</v>
      </c>
      <c r="P12" s="17">
        <f>O12*10.5</f>
        <v>26.25</v>
      </c>
      <c r="R12" s="11" t="s">
        <v>67</v>
      </c>
      <c r="S12" s="18">
        <f>S11+(G9*B7)</f>
        <v>2504.7368421052633</v>
      </c>
    </row>
    <row r="13" spans="1:19" x14ac:dyDescent="0.25">
      <c r="A13" s="100" t="s">
        <v>44</v>
      </c>
      <c r="B13" s="93">
        <v>0</v>
      </c>
      <c r="C13" s="16">
        <f>IF(B13&lt;7,0,IF(B13=7,1,IF(B13=8,2,3)))</f>
        <v>0</v>
      </c>
      <c r="D13" s="17">
        <f t="shared" ref="D13:D15" si="0">C13*10.5</f>
        <v>0</v>
      </c>
      <c r="F13" s="58">
        <v>0</v>
      </c>
      <c r="G13" s="16">
        <f>IF(F13&lt;7,0,IF(F13=7,1,IF(F13=8,2,3)))</f>
        <v>0</v>
      </c>
      <c r="H13" s="17">
        <f t="shared" ref="H13:H15" si="1">G13*10.5</f>
        <v>0</v>
      </c>
      <c r="J13" s="58">
        <v>0</v>
      </c>
      <c r="K13" s="16">
        <f>IF(J13&lt;7,0,IF(J13=7,1,IF(J13=8,2,3)))</f>
        <v>0</v>
      </c>
      <c r="L13" s="17">
        <f t="shared" ref="L13:L15" si="2">K13*10.5</f>
        <v>0</v>
      </c>
      <c r="N13" s="58">
        <v>0</v>
      </c>
      <c r="O13" s="16">
        <f>IF(N13&lt;7,0,IF(N13=7,1,IF(N13=8,2,3)))</f>
        <v>0</v>
      </c>
      <c r="P13" s="17">
        <f t="shared" ref="P13:P15" si="3">O13*10.5</f>
        <v>0</v>
      </c>
      <c r="R13" s="11" t="s">
        <v>69</v>
      </c>
      <c r="S13" s="65">
        <v>2150</v>
      </c>
    </row>
    <row r="14" spans="1:19" ht="15.75" thickBot="1" x14ac:dyDescent="0.3">
      <c r="A14" s="100" t="s">
        <v>12</v>
      </c>
      <c r="B14" s="91">
        <v>22</v>
      </c>
      <c r="C14" s="16">
        <f>B14/2</f>
        <v>11</v>
      </c>
      <c r="D14" s="17">
        <f t="shared" si="0"/>
        <v>115.5</v>
      </c>
      <c r="F14" s="57">
        <v>18</v>
      </c>
      <c r="G14" s="16">
        <f>F14/2</f>
        <v>9</v>
      </c>
      <c r="H14" s="17">
        <f t="shared" si="1"/>
        <v>94.5</v>
      </c>
      <c r="J14" s="57">
        <v>0</v>
      </c>
      <c r="K14" s="16">
        <f>J14/2</f>
        <v>0</v>
      </c>
      <c r="L14" s="17">
        <f t="shared" si="2"/>
        <v>0</v>
      </c>
      <c r="N14" s="57">
        <v>0</v>
      </c>
      <c r="O14" s="16">
        <f>N14/2</f>
        <v>0</v>
      </c>
      <c r="P14" s="17">
        <f t="shared" si="3"/>
        <v>0</v>
      </c>
      <c r="R14" s="12" t="s">
        <v>50</v>
      </c>
      <c r="S14" s="106">
        <f>S12-S13</f>
        <v>354.73684210526335</v>
      </c>
    </row>
    <row r="15" spans="1:19" x14ac:dyDescent="0.25">
      <c r="A15" s="100" t="s">
        <v>13</v>
      </c>
      <c r="B15" s="93">
        <v>200</v>
      </c>
      <c r="C15" s="16">
        <f>B15*4/1000</f>
        <v>0.8</v>
      </c>
      <c r="D15" s="17">
        <f t="shared" si="0"/>
        <v>8.4</v>
      </c>
      <c r="F15" s="58">
        <v>200</v>
      </c>
      <c r="G15" s="16">
        <f>F15*4/1000</f>
        <v>0.8</v>
      </c>
      <c r="H15" s="17">
        <f t="shared" si="1"/>
        <v>8.4</v>
      </c>
      <c r="J15" s="58">
        <v>300</v>
      </c>
      <c r="K15" s="16">
        <f>J15*4/1000</f>
        <v>1.2</v>
      </c>
      <c r="L15" s="17">
        <f t="shared" si="2"/>
        <v>12.6</v>
      </c>
      <c r="N15" s="58">
        <v>300</v>
      </c>
      <c r="O15" s="16">
        <f>N15*4/1000</f>
        <v>1.2</v>
      </c>
      <c r="P15" s="17">
        <f t="shared" si="3"/>
        <v>12.6</v>
      </c>
    </row>
    <row r="16" spans="1:19" x14ac:dyDescent="0.25">
      <c r="A16" s="100" t="s">
        <v>14</v>
      </c>
      <c r="B16" s="96" t="s">
        <v>23</v>
      </c>
      <c r="C16" s="7">
        <f>SUM(C12:C15)</f>
        <v>17.3</v>
      </c>
      <c r="D16" s="18">
        <f>SUM(D12:D15)</f>
        <v>181.65</v>
      </c>
      <c r="F16" s="33" t="s">
        <v>23</v>
      </c>
      <c r="G16" s="7">
        <f>SUM(G12:G15)</f>
        <v>14.3</v>
      </c>
      <c r="H16" s="18">
        <f>SUM(H12:H15)</f>
        <v>150.15</v>
      </c>
      <c r="J16" s="33" t="s">
        <v>23</v>
      </c>
      <c r="K16" s="7">
        <f>SUM(K12:K15)</f>
        <v>5.2</v>
      </c>
      <c r="L16" s="18">
        <f>SUM(L12:L15)</f>
        <v>54.6</v>
      </c>
      <c r="N16" s="33" t="s">
        <v>23</v>
      </c>
      <c r="O16" s="7">
        <f>SUM(O12:O15)</f>
        <v>3.7</v>
      </c>
      <c r="P16" s="18">
        <f>SUM(P12:P15)</f>
        <v>38.85</v>
      </c>
    </row>
    <row r="17" spans="1:16" x14ac:dyDescent="0.25">
      <c r="A17" s="100" t="s">
        <v>8</v>
      </c>
      <c r="B17" s="91">
        <v>11.5</v>
      </c>
      <c r="C17" s="59">
        <v>4</v>
      </c>
      <c r="D17" s="17">
        <f>C17*B17</f>
        <v>46</v>
      </c>
      <c r="F17" s="57">
        <v>11.5</v>
      </c>
      <c r="G17" s="59">
        <v>3</v>
      </c>
      <c r="H17" s="17">
        <f>G17*F17</f>
        <v>34.5</v>
      </c>
      <c r="J17" s="57">
        <v>0</v>
      </c>
      <c r="K17" s="59">
        <v>0</v>
      </c>
      <c r="L17" s="17">
        <f>K17*J17</f>
        <v>0</v>
      </c>
      <c r="N17" s="57">
        <v>0</v>
      </c>
      <c r="O17" s="59">
        <v>0</v>
      </c>
      <c r="P17" s="17">
        <f>O17*N17</f>
        <v>0</v>
      </c>
    </row>
    <row r="18" spans="1:16" x14ac:dyDescent="0.25">
      <c r="A18" s="100" t="s">
        <v>89</v>
      </c>
      <c r="B18" s="91">
        <v>9</v>
      </c>
      <c r="C18" s="60">
        <v>0</v>
      </c>
      <c r="D18" s="17">
        <f t="shared" ref="D18:D19" si="4">C18*B18</f>
        <v>0</v>
      </c>
      <c r="F18" s="57">
        <v>9</v>
      </c>
      <c r="G18" s="60">
        <v>0</v>
      </c>
      <c r="H18" s="17">
        <f t="shared" ref="H18:H19" si="5">G18*F18</f>
        <v>0</v>
      </c>
      <c r="J18" s="57">
        <v>0</v>
      </c>
      <c r="K18" s="60">
        <v>0</v>
      </c>
      <c r="L18" s="17">
        <f t="shared" ref="L18:L19" si="6">K18*J18</f>
        <v>0</v>
      </c>
      <c r="N18" s="57">
        <v>0</v>
      </c>
      <c r="O18" s="60">
        <v>0</v>
      </c>
      <c r="P18" s="17">
        <f t="shared" ref="P18:P19" si="7">O18*N18</f>
        <v>0</v>
      </c>
    </row>
    <row r="19" spans="1:16" x14ac:dyDescent="0.25">
      <c r="A19" s="100" t="s">
        <v>9</v>
      </c>
      <c r="B19" s="91">
        <v>10</v>
      </c>
      <c r="C19" s="60">
        <v>14</v>
      </c>
      <c r="D19" s="17">
        <f t="shared" si="4"/>
        <v>140</v>
      </c>
      <c r="F19" s="57">
        <v>10</v>
      </c>
      <c r="G19" s="60">
        <v>12</v>
      </c>
      <c r="H19" s="17">
        <f t="shared" si="5"/>
        <v>120</v>
      </c>
      <c r="J19" s="57">
        <v>10.5</v>
      </c>
      <c r="K19" s="60">
        <v>6</v>
      </c>
      <c r="L19" s="17">
        <f t="shared" si="6"/>
        <v>63</v>
      </c>
      <c r="N19" s="57">
        <v>10.5</v>
      </c>
      <c r="O19" s="60">
        <v>3.7</v>
      </c>
      <c r="P19" s="17">
        <f t="shared" si="7"/>
        <v>38.85</v>
      </c>
    </row>
    <row r="20" spans="1:16" ht="15.75" thickBot="1" x14ac:dyDescent="0.3">
      <c r="A20" s="100" t="s">
        <v>15</v>
      </c>
      <c r="B20" s="97"/>
      <c r="C20" s="7">
        <f>SUM(C17:C19)</f>
        <v>18</v>
      </c>
      <c r="D20" s="18">
        <f>SUM(D17:D19)</f>
        <v>186</v>
      </c>
      <c r="F20" s="19"/>
      <c r="G20" s="7">
        <f>SUM(G17:G19)</f>
        <v>15</v>
      </c>
      <c r="H20" s="18">
        <f>SUM(H17:H19)</f>
        <v>154.5</v>
      </c>
      <c r="J20" s="19"/>
      <c r="K20" s="7">
        <f>SUM(K17:K19)</f>
        <v>6</v>
      </c>
      <c r="L20" s="18">
        <f>SUM(L17:L19)</f>
        <v>63</v>
      </c>
      <c r="N20" s="19"/>
      <c r="O20" s="7">
        <f>SUM(O17:O19)</f>
        <v>3.7</v>
      </c>
      <c r="P20" s="18">
        <f>SUM(P17:P19)</f>
        <v>38.85</v>
      </c>
    </row>
    <row r="21" spans="1:16" ht="15.75" thickBot="1" x14ac:dyDescent="0.3">
      <c r="A21" s="101" t="s">
        <v>22</v>
      </c>
      <c r="B21" s="98">
        <v>558</v>
      </c>
      <c r="C21" s="20"/>
      <c r="D21" s="8">
        <f>D20-D16</f>
        <v>4.3499999999999943</v>
      </c>
      <c r="F21" s="61">
        <v>548</v>
      </c>
      <c r="G21" s="20"/>
      <c r="H21" s="8">
        <f>H20-H16</f>
        <v>4.3499999999999943</v>
      </c>
      <c r="J21" s="61">
        <v>322</v>
      </c>
      <c r="K21" s="20"/>
      <c r="L21" s="8">
        <f>L20-L16</f>
        <v>8.3999999999999986</v>
      </c>
      <c r="N21" s="61">
        <v>0</v>
      </c>
      <c r="O21" s="20"/>
      <c r="P21" s="8">
        <f>P20-P16</f>
        <v>0</v>
      </c>
    </row>
  </sheetData>
  <mergeCells count="14">
    <mergeCell ref="O8:S8"/>
    <mergeCell ref="B10:D10"/>
    <mergeCell ref="F10:H10"/>
    <mergeCell ref="J10:L10"/>
    <mergeCell ref="N10:P10"/>
    <mergeCell ref="R10:S10"/>
    <mergeCell ref="O5:S5"/>
    <mergeCell ref="O6:S6"/>
    <mergeCell ref="O7:S7"/>
    <mergeCell ref="B3:D3"/>
    <mergeCell ref="F3:H3"/>
    <mergeCell ref="J3:L3"/>
    <mergeCell ref="N3:S3"/>
    <mergeCell ref="O4:S4"/>
  </mergeCells>
  <conditionalFormatting sqref="L6">
    <cfRule type="cellIs" dxfId="21" priority="10" operator="lessThan">
      <formula>-0.99</formula>
    </cfRule>
    <cfRule type="cellIs" dxfId="20" priority="11" operator="greaterThan">
      <formula>-0.99</formula>
    </cfRule>
  </conditionalFormatting>
  <conditionalFormatting sqref="D21">
    <cfRule type="cellIs" dxfId="19" priority="8" operator="lessThan">
      <formula>-0.01</formula>
    </cfRule>
    <cfRule type="cellIs" dxfId="18" priority="9" operator="greaterThan">
      <formula>-0.01</formula>
    </cfRule>
  </conditionalFormatting>
  <conditionalFormatting sqref="H21">
    <cfRule type="cellIs" dxfId="17" priority="6" operator="lessThan">
      <formula>-0.01</formula>
    </cfRule>
    <cfRule type="cellIs" dxfId="16" priority="7" operator="greaterThan">
      <formula>-0.01</formula>
    </cfRule>
  </conditionalFormatting>
  <conditionalFormatting sqref="L21">
    <cfRule type="cellIs" dxfId="15" priority="4" operator="lessThan">
      <formula>-0.01</formula>
    </cfRule>
    <cfRule type="cellIs" dxfId="14" priority="5" operator="greaterThan">
      <formula>-0.01</formula>
    </cfRule>
  </conditionalFormatting>
  <conditionalFormatting sqref="P21">
    <cfRule type="cellIs" dxfId="13" priority="2" operator="lessThan">
      <formula>-0.01</formula>
    </cfRule>
    <cfRule type="cellIs" dxfId="12" priority="3" operator="greaterThan">
      <formula>-0.01</formula>
    </cfRule>
  </conditionalFormatting>
  <conditionalFormatting sqref="S14">
    <cfRule type="cellIs" dxfId="11" priority="1" operator="between">
      <formula>-50</formula>
      <formula>50</formula>
    </cfRule>
  </conditionalFormatting>
  <pageMargins left="0.7" right="0.7" top="0.75" bottom="0.75" header="0.3" footer="0.3"/>
  <pageSetup paperSize="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60B04-8761-417E-9F9B-A4F0B7254C0E}">
  <dimension ref="A1:S21"/>
  <sheetViews>
    <sheetView topLeftCell="A2" zoomScaleNormal="100" workbookViewId="0">
      <pane xSplit="1" topLeftCell="B1" activePane="topRight" state="frozen"/>
      <selection activeCell="A2" sqref="A2"/>
      <selection pane="topRight" activeCell="B23" sqref="B23"/>
    </sheetView>
  </sheetViews>
  <sheetFormatPr defaultRowHeight="15" x14ac:dyDescent="0.25"/>
  <cols>
    <col min="1" max="1" width="32.7109375" style="4" customWidth="1"/>
    <col min="2" max="4" width="9.7109375" style="4" customWidth="1"/>
    <col min="5" max="5" width="2.28515625" style="4" customWidth="1"/>
    <col min="6" max="8" width="9.7109375" style="4" customWidth="1"/>
    <col min="9" max="9" width="2.28515625" style="4" customWidth="1"/>
    <col min="10" max="12" width="9.7109375" style="4" customWidth="1"/>
    <col min="13" max="13" width="2.28515625" style="4" customWidth="1"/>
    <col min="14" max="16" width="9.7109375" style="4" customWidth="1"/>
    <col min="17" max="17" width="2.28515625" style="4" customWidth="1"/>
    <col min="18" max="18" width="17.28515625" style="4" customWidth="1"/>
    <col min="19" max="16384" width="9.140625" style="4"/>
  </cols>
  <sheetData>
    <row r="1" spans="1:19" ht="21" x14ac:dyDescent="0.35">
      <c r="A1" s="3" t="s">
        <v>21</v>
      </c>
    </row>
    <row r="2" spans="1:19" ht="12" customHeight="1" thickBot="1" x14ac:dyDescent="0.4">
      <c r="A2" s="3"/>
    </row>
    <row r="3" spans="1:19" ht="15.75" thickBot="1" x14ac:dyDescent="0.3">
      <c r="A3" s="89" t="s">
        <v>138</v>
      </c>
      <c r="B3" s="143" t="s">
        <v>34</v>
      </c>
      <c r="C3" s="144"/>
      <c r="D3" s="145"/>
      <c r="F3" s="143" t="s">
        <v>35</v>
      </c>
      <c r="G3" s="144"/>
      <c r="H3" s="145"/>
      <c r="J3" s="143" t="s">
        <v>36</v>
      </c>
      <c r="K3" s="144"/>
      <c r="L3" s="145"/>
      <c r="N3" s="143" t="s">
        <v>37</v>
      </c>
      <c r="O3" s="144"/>
      <c r="P3" s="144"/>
      <c r="Q3" s="144"/>
      <c r="R3" s="144"/>
      <c r="S3" s="145"/>
    </row>
    <row r="4" spans="1:19" x14ac:dyDescent="0.25">
      <c r="A4" s="99" t="s">
        <v>1</v>
      </c>
      <c r="B4" s="90">
        <v>8</v>
      </c>
      <c r="C4" s="155" t="s">
        <v>0</v>
      </c>
      <c r="D4" s="147"/>
      <c r="F4" s="9" t="s">
        <v>17</v>
      </c>
      <c r="G4" s="62">
        <v>2800</v>
      </c>
      <c r="H4" s="24" t="s">
        <v>20</v>
      </c>
      <c r="J4" s="9" t="s">
        <v>26</v>
      </c>
      <c r="K4" s="25"/>
      <c r="L4" s="26">
        <f>B21*C19+F21*G19+J21*K19+N21*O19</f>
        <v>18983.5</v>
      </c>
      <c r="N4" s="102" t="str">
        <f>IF($L$6&gt;1,"Increase","Decrease")</f>
        <v>Increase</v>
      </c>
      <c r="O4" s="146" t="s">
        <v>40</v>
      </c>
      <c r="P4" s="146"/>
      <c r="Q4" s="146"/>
      <c r="R4" s="146"/>
      <c r="S4" s="147"/>
    </row>
    <row r="5" spans="1:19" ht="15.75" thickBot="1" x14ac:dyDescent="0.3">
      <c r="A5" s="100" t="s">
        <v>2</v>
      </c>
      <c r="B5" s="91">
        <v>2.25</v>
      </c>
      <c r="C5" s="156" t="s">
        <v>6</v>
      </c>
      <c r="D5" s="139"/>
      <c r="F5" s="11" t="s">
        <v>18</v>
      </c>
      <c r="G5" s="63">
        <v>1500</v>
      </c>
      <c r="H5" s="10" t="s">
        <v>20</v>
      </c>
      <c r="J5" s="11" t="s">
        <v>27</v>
      </c>
      <c r="K5" s="27"/>
      <c r="L5" s="28">
        <f>G6*B8</f>
        <v>20511.111111111113</v>
      </c>
      <c r="N5" s="103" t="str">
        <f>IF($L$6&lt;1,"Increase","Decrease")</f>
        <v>Decrease</v>
      </c>
      <c r="O5" s="138" t="s">
        <v>32</v>
      </c>
      <c r="P5" s="138"/>
      <c r="Q5" s="138"/>
      <c r="R5" s="138"/>
      <c r="S5" s="139"/>
    </row>
    <row r="6" spans="1:19" ht="15.75" thickBot="1" x14ac:dyDescent="0.3">
      <c r="A6" s="100" t="s">
        <v>3</v>
      </c>
      <c r="B6" s="92">
        <f>B4*B5</f>
        <v>18</v>
      </c>
      <c r="C6" s="156" t="s">
        <v>0</v>
      </c>
      <c r="D6" s="139"/>
      <c r="F6" s="11" t="s">
        <v>19</v>
      </c>
      <c r="G6" s="22">
        <f>G4-G5</f>
        <v>1300</v>
      </c>
      <c r="H6" s="10" t="s">
        <v>20</v>
      </c>
      <c r="J6" s="11" t="s">
        <v>30</v>
      </c>
      <c r="K6" s="27"/>
      <c r="L6" s="8">
        <f>L5-L4</f>
        <v>1527.6111111111131</v>
      </c>
      <c r="N6" s="103" t="str">
        <f>IF($L$6&lt;1,"Increase","Decrease")</f>
        <v>Decrease</v>
      </c>
      <c r="O6" s="138" t="s">
        <v>31</v>
      </c>
      <c r="P6" s="138"/>
      <c r="Q6" s="138"/>
      <c r="R6" s="138"/>
      <c r="S6" s="139"/>
    </row>
    <row r="7" spans="1:19" x14ac:dyDescent="0.25">
      <c r="A7" s="100" t="s">
        <v>4</v>
      </c>
      <c r="B7" s="93">
        <v>284</v>
      </c>
      <c r="C7" s="156" t="s">
        <v>63</v>
      </c>
      <c r="D7" s="139"/>
      <c r="F7" s="11" t="s">
        <v>29</v>
      </c>
      <c r="G7" s="6">
        <f>G6/B6</f>
        <v>72.222222222222229</v>
      </c>
      <c r="H7" s="10" t="s">
        <v>20</v>
      </c>
      <c r="J7" s="11" t="s">
        <v>38</v>
      </c>
      <c r="K7" s="27"/>
      <c r="L7" s="29">
        <f>L4/L5</f>
        <v>0.9255227518959912</v>
      </c>
      <c r="N7" s="104" t="str">
        <f>IF($L$6&gt;1,"Increase","Decrease")</f>
        <v>Increase</v>
      </c>
      <c r="O7" s="138" t="s">
        <v>62</v>
      </c>
      <c r="P7" s="138"/>
      <c r="Q7" s="138"/>
      <c r="R7" s="138"/>
      <c r="S7" s="139"/>
    </row>
    <row r="8" spans="1:19" ht="15.75" thickBot="1" x14ac:dyDescent="0.3">
      <c r="A8" s="100" t="s">
        <v>5</v>
      </c>
      <c r="B8" s="94">
        <f>B7/B6</f>
        <v>15.777777777777779</v>
      </c>
      <c r="C8" s="157" t="s">
        <v>63</v>
      </c>
      <c r="D8" s="149"/>
      <c r="F8" s="32" t="s">
        <v>64</v>
      </c>
      <c r="G8" s="34">
        <f>L6/B7</f>
        <v>5.3789123630672995</v>
      </c>
      <c r="H8" s="23" t="s">
        <v>65</v>
      </c>
      <c r="J8" s="12" t="s">
        <v>28</v>
      </c>
      <c r="K8" s="13"/>
      <c r="L8" s="30">
        <f>IF(L7&lt;1,B7*(1-L7),0)</f>
        <v>21.1515384615385</v>
      </c>
      <c r="N8" s="105" t="str">
        <f>IF($L$6&gt;1,"Increase","Decrease")</f>
        <v>Increase</v>
      </c>
      <c r="O8" s="148" t="s">
        <v>33</v>
      </c>
      <c r="P8" s="148"/>
      <c r="Q8" s="148"/>
      <c r="R8" s="148"/>
      <c r="S8" s="149"/>
    </row>
    <row r="9" spans="1:19" ht="15.75" thickBot="1" x14ac:dyDescent="0.3">
      <c r="A9" s="11"/>
    </row>
    <row r="10" spans="1:19" ht="15.75" thickBot="1" x14ac:dyDescent="0.3">
      <c r="A10" s="100" t="s">
        <v>39</v>
      </c>
      <c r="B10" s="150" t="s">
        <v>103</v>
      </c>
      <c r="C10" s="151"/>
      <c r="D10" s="152"/>
      <c r="F10" s="153" t="s">
        <v>104</v>
      </c>
      <c r="G10" s="151"/>
      <c r="H10" s="152"/>
      <c r="J10" s="154" t="s">
        <v>24</v>
      </c>
      <c r="K10" s="151"/>
      <c r="L10" s="152"/>
      <c r="N10" s="154" t="s">
        <v>25</v>
      </c>
      <c r="O10" s="151"/>
      <c r="P10" s="152"/>
      <c r="R10" s="143" t="s">
        <v>68</v>
      </c>
      <c r="S10" s="145"/>
    </row>
    <row r="11" spans="1:19" ht="15.75" thickBot="1" x14ac:dyDescent="0.3">
      <c r="A11" s="100"/>
      <c r="B11" s="95" t="s">
        <v>16</v>
      </c>
      <c r="C11" s="14" t="s">
        <v>10</v>
      </c>
      <c r="D11" s="15" t="s">
        <v>11</v>
      </c>
      <c r="F11" s="21" t="s">
        <v>16</v>
      </c>
      <c r="G11" s="14" t="s">
        <v>10</v>
      </c>
      <c r="H11" s="15" t="s">
        <v>11</v>
      </c>
      <c r="J11" s="21" t="s">
        <v>16</v>
      </c>
      <c r="K11" s="14" t="s">
        <v>10</v>
      </c>
      <c r="L11" s="15" t="s">
        <v>11</v>
      </c>
      <c r="N11" s="21" t="s">
        <v>16</v>
      </c>
      <c r="O11" s="14" t="s">
        <v>10</v>
      </c>
      <c r="P11" s="15" t="s">
        <v>11</v>
      </c>
      <c r="R11" s="9" t="s">
        <v>66</v>
      </c>
      <c r="S11" s="64">
        <v>2340</v>
      </c>
    </row>
    <row r="12" spans="1:19" x14ac:dyDescent="0.25">
      <c r="A12" s="100" t="s">
        <v>45</v>
      </c>
      <c r="B12" s="90">
        <v>470</v>
      </c>
      <c r="C12" s="16">
        <f>B12/100+1</f>
        <v>5.7</v>
      </c>
      <c r="D12" s="17">
        <f>C12*10.5</f>
        <v>59.85</v>
      </c>
      <c r="F12" s="56">
        <v>450</v>
      </c>
      <c r="G12" s="16">
        <f>F12/100+1</f>
        <v>5.5</v>
      </c>
      <c r="H12" s="17">
        <f>G12*10.5</f>
        <v>57.75</v>
      </c>
      <c r="J12" s="56">
        <v>325</v>
      </c>
      <c r="K12" s="16">
        <f>J12/100+1</f>
        <v>4.25</v>
      </c>
      <c r="L12" s="17">
        <f>K12*10.5</f>
        <v>44.625</v>
      </c>
      <c r="N12" s="56">
        <v>150</v>
      </c>
      <c r="O12" s="16">
        <f>N12/100+1</f>
        <v>2.5</v>
      </c>
      <c r="P12" s="17">
        <f>O12*10.5</f>
        <v>26.25</v>
      </c>
      <c r="R12" s="11" t="s">
        <v>67</v>
      </c>
      <c r="S12" s="18">
        <f>S11+(G8*B6)</f>
        <v>2436.8204225352115</v>
      </c>
    </row>
    <row r="13" spans="1:19" x14ac:dyDescent="0.25">
      <c r="A13" s="100" t="s">
        <v>44</v>
      </c>
      <c r="B13" s="93">
        <v>0</v>
      </c>
      <c r="C13" s="16">
        <f>IF(B13&lt;7,0,IF(B13=7,1,IF(B13=8,2,3)))</f>
        <v>0</v>
      </c>
      <c r="D13" s="17">
        <f t="shared" ref="D13:D15" si="0">C13*10.5</f>
        <v>0</v>
      </c>
      <c r="F13" s="58">
        <v>0</v>
      </c>
      <c r="G13" s="16">
        <f>IF(F13&lt;7,0,IF(F13=7,1,IF(F13=8,2,3)))</f>
        <v>0</v>
      </c>
      <c r="H13" s="17">
        <f t="shared" ref="H13:H15" si="1">G13*10.5</f>
        <v>0</v>
      </c>
      <c r="J13" s="58">
        <v>0</v>
      </c>
      <c r="K13" s="16">
        <f>IF(J13&lt;7,0,IF(J13=7,1,IF(J13=8,2,3)))</f>
        <v>0</v>
      </c>
      <c r="L13" s="17">
        <f t="shared" ref="L13:L15" si="2">K13*10.5</f>
        <v>0</v>
      </c>
      <c r="N13" s="58">
        <v>0</v>
      </c>
      <c r="O13" s="16">
        <f>IF(N13&lt;7,0,IF(N13=7,1,IF(N13=8,2,3)))</f>
        <v>0</v>
      </c>
      <c r="P13" s="17">
        <f t="shared" ref="P13:P15" si="3">O13*10.5</f>
        <v>0</v>
      </c>
      <c r="R13" s="11" t="s">
        <v>69</v>
      </c>
      <c r="S13" s="65">
        <v>2200</v>
      </c>
    </row>
    <row r="14" spans="1:19" ht="15.75" thickBot="1" x14ac:dyDescent="0.3">
      <c r="A14" s="100" t="s">
        <v>12</v>
      </c>
      <c r="B14" s="91">
        <v>27</v>
      </c>
      <c r="C14" s="16">
        <f>B14/2</f>
        <v>13.5</v>
      </c>
      <c r="D14" s="17">
        <f t="shared" si="0"/>
        <v>141.75</v>
      </c>
      <c r="F14" s="57">
        <v>26</v>
      </c>
      <c r="G14" s="16">
        <f>F14/2</f>
        <v>13</v>
      </c>
      <c r="H14" s="17">
        <f t="shared" si="1"/>
        <v>136.5</v>
      </c>
      <c r="J14" s="57">
        <v>0</v>
      </c>
      <c r="K14" s="16">
        <f>J14/2</f>
        <v>0</v>
      </c>
      <c r="L14" s="17">
        <f t="shared" si="2"/>
        <v>0</v>
      </c>
      <c r="N14" s="57">
        <v>0</v>
      </c>
      <c r="O14" s="16">
        <f>N14/2</f>
        <v>0</v>
      </c>
      <c r="P14" s="17">
        <f t="shared" si="3"/>
        <v>0</v>
      </c>
      <c r="R14" s="12" t="s">
        <v>50</v>
      </c>
      <c r="S14" s="106">
        <f>S12-S13</f>
        <v>236.82042253521149</v>
      </c>
    </row>
    <row r="15" spans="1:19" x14ac:dyDescent="0.25">
      <c r="A15" s="100" t="s">
        <v>13</v>
      </c>
      <c r="B15" s="93">
        <v>200</v>
      </c>
      <c r="C15" s="16">
        <f>B15*4/1000</f>
        <v>0.8</v>
      </c>
      <c r="D15" s="17">
        <f t="shared" si="0"/>
        <v>8.4</v>
      </c>
      <c r="F15" s="58">
        <v>200</v>
      </c>
      <c r="G15" s="16">
        <f>F15*4/1000</f>
        <v>0.8</v>
      </c>
      <c r="H15" s="17">
        <f t="shared" si="1"/>
        <v>8.4</v>
      </c>
      <c r="J15" s="58">
        <v>500</v>
      </c>
      <c r="K15" s="16">
        <f>J15*4/1000</f>
        <v>2</v>
      </c>
      <c r="L15" s="17">
        <f t="shared" si="2"/>
        <v>21</v>
      </c>
      <c r="N15" s="58">
        <v>300</v>
      </c>
      <c r="O15" s="16">
        <f>N15*4/1000</f>
        <v>1.2</v>
      </c>
      <c r="P15" s="17">
        <f t="shared" si="3"/>
        <v>12.6</v>
      </c>
    </row>
    <row r="16" spans="1:19" x14ac:dyDescent="0.25">
      <c r="A16" s="100" t="s">
        <v>14</v>
      </c>
      <c r="B16" s="96" t="s">
        <v>23</v>
      </c>
      <c r="C16" s="7">
        <f>SUM(C12:C15)</f>
        <v>20</v>
      </c>
      <c r="D16" s="18">
        <f>SUM(D12:D15)</f>
        <v>210</v>
      </c>
      <c r="F16" s="33" t="s">
        <v>23</v>
      </c>
      <c r="G16" s="7">
        <f>SUM(G12:G15)</f>
        <v>19.3</v>
      </c>
      <c r="H16" s="18">
        <f>SUM(H12:H15)</f>
        <v>202.65</v>
      </c>
      <c r="J16" s="33" t="s">
        <v>23</v>
      </c>
      <c r="K16" s="7">
        <f>SUM(K12:K15)</f>
        <v>6.25</v>
      </c>
      <c r="L16" s="18">
        <f>SUM(L12:L15)</f>
        <v>65.625</v>
      </c>
      <c r="N16" s="33" t="s">
        <v>23</v>
      </c>
      <c r="O16" s="7">
        <f>SUM(O12:O15)</f>
        <v>3.7</v>
      </c>
      <c r="P16" s="18">
        <f>SUM(P12:P15)</f>
        <v>38.85</v>
      </c>
    </row>
    <row r="17" spans="1:16" x14ac:dyDescent="0.25">
      <c r="A17" s="100" t="s">
        <v>8</v>
      </c>
      <c r="B17" s="91">
        <v>11.5</v>
      </c>
      <c r="C17" s="59">
        <v>2.8</v>
      </c>
      <c r="D17" s="17">
        <f>C17*B17</f>
        <v>32.199999999999996</v>
      </c>
      <c r="F17" s="57">
        <v>11.5</v>
      </c>
      <c r="G17" s="59">
        <v>2.5</v>
      </c>
      <c r="H17" s="17">
        <f>G17*F17</f>
        <v>28.75</v>
      </c>
      <c r="J17" s="57">
        <v>0</v>
      </c>
      <c r="K17" s="59">
        <v>0</v>
      </c>
      <c r="L17" s="17">
        <f>K17*J17</f>
        <v>0</v>
      </c>
      <c r="N17" s="57">
        <v>0</v>
      </c>
      <c r="O17" s="59">
        <v>0</v>
      </c>
      <c r="P17" s="17">
        <f>O17*N17</f>
        <v>0</v>
      </c>
    </row>
    <row r="18" spans="1:16" x14ac:dyDescent="0.25">
      <c r="A18" s="100" t="s">
        <v>89</v>
      </c>
      <c r="B18" s="91">
        <v>9</v>
      </c>
      <c r="C18" s="60">
        <v>0</v>
      </c>
      <c r="D18" s="17">
        <f t="shared" ref="D18:D19" si="4">C18*B18</f>
        <v>0</v>
      </c>
      <c r="F18" s="57">
        <v>9</v>
      </c>
      <c r="G18" s="60">
        <v>2</v>
      </c>
      <c r="H18" s="17">
        <f t="shared" ref="H18:H19" si="5">G18*F18</f>
        <v>18</v>
      </c>
      <c r="J18" s="57">
        <v>0</v>
      </c>
      <c r="K18" s="60">
        <v>0</v>
      </c>
      <c r="L18" s="17">
        <f t="shared" ref="L18:L19" si="6">K18*J18</f>
        <v>0</v>
      </c>
      <c r="N18" s="57">
        <v>0</v>
      </c>
      <c r="O18" s="60">
        <v>0</v>
      </c>
      <c r="P18" s="17">
        <f t="shared" ref="P18:P19" si="7">O18*N18</f>
        <v>0</v>
      </c>
    </row>
    <row r="19" spans="1:16" x14ac:dyDescent="0.25">
      <c r="A19" s="100" t="s">
        <v>9</v>
      </c>
      <c r="B19" s="91">
        <v>10.5</v>
      </c>
      <c r="C19" s="60">
        <v>17</v>
      </c>
      <c r="D19" s="17">
        <f t="shared" si="4"/>
        <v>178.5</v>
      </c>
      <c r="F19" s="57">
        <v>10.5</v>
      </c>
      <c r="G19" s="60">
        <v>15</v>
      </c>
      <c r="H19" s="17">
        <f t="shared" si="5"/>
        <v>157.5</v>
      </c>
      <c r="J19" s="57">
        <v>10.5</v>
      </c>
      <c r="K19" s="60">
        <v>6.3</v>
      </c>
      <c r="L19" s="17">
        <f t="shared" si="6"/>
        <v>66.149999999999991</v>
      </c>
      <c r="N19" s="57">
        <v>10.5</v>
      </c>
      <c r="O19" s="60">
        <v>3.7</v>
      </c>
      <c r="P19" s="17">
        <f t="shared" si="7"/>
        <v>38.85</v>
      </c>
    </row>
    <row r="20" spans="1:16" ht="15.75" thickBot="1" x14ac:dyDescent="0.3">
      <c r="A20" s="100" t="s">
        <v>15</v>
      </c>
      <c r="B20" s="97"/>
      <c r="C20" s="7">
        <f>SUM(C17:C19)</f>
        <v>19.8</v>
      </c>
      <c r="D20" s="18">
        <f>SUM(D17:D19)</f>
        <v>210.7</v>
      </c>
      <c r="F20" s="19"/>
      <c r="G20" s="7">
        <f>SUM(G17:G19)</f>
        <v>19.5</v>
      </c>
      <c r="H20" s="18">
        <f>SUM(H17:H19)</f>
        <v>204.25</v>
      </c>
      <c r="J20" s="19"/>
      <c r="K20" s="7">
        <f>SUM(K17:K19)</f>
        <v>6.3</v>
      </c>
      <c r="L20" s="18">
        <f>SUM(L17:L19)</f>
        <v>66.149999999999991</v>
      </c>
      <c r="N20" s="19"/>
      <c r="O20" s="7">
        <f>SUM(O17:O19)</f>
        <v>3.7</v>
      </c>
      <c r="P20" s="18">
        <f>SUM(P17:P19)</f>
        <v>38.85</v>
      </c>
    </row>
    <row r="21" spans="1:16" ht="15.75" thickBot="1" x14ac:dyDescent="0.3">
      <c r="A21" s="101" t="s">
        <v>22</v>
      </c>
      <c r="B21" s="98">
        <v>545</v>
      </c>
      <c r="C21" s="20"/>
      <c r="D21" s="8">
        <f>D20-D16</f>
        <v>0.69999999999998863</v>
      </c>
      <c r="F21" s="61">
        <v>503</v>
      </c>
      <c r="G21" s="20"/>
      <c r="H21" s="8">
        <f>H20-H16</f>
        <v>1.5999999999999943</v>
      </c>
      <c r="J21" s="61">
        <v>345</v>
      </c>
      <c r="K21" s="20"/>
      <c r="L21" s="8">
        <f>L20-L16</f>
        <v>0.52499999999999147</v>
      </c>
      <c r="N21" s="61">
        <v>0</v>
      </c>
      <c r="O21" s="20"/>
      <c r="P21" s="8">
        <f>P20-P16</f>
        <v>0</v>
      </c>
    </row>
  </sheetData>
  <mergeCells count="19">
    <mergeCell ref="B10:D10"/>
    <mergeCell ref="F10:H10"/>
    <mergeCell ref="J10:L10"/>
    <mergeCell ref="N10:P10"/>
    <mergeCell ref="B3:D3"/>
    <mergeCell ref="C4:D4"/>
    <mergeCell ref="C5:D5"/>
    <mergeCell ref="C6:D6"/>
    <mergeCell ref="C7:D7"/>
    <mergeCell ref="N3:S3"/>
    <mergeCell ref="O4:S4"/>
    <mergeCell ref="O5:S5"/>
    <mergeCell ref="R10:S10"/>
    <mergeCell ref="O6:S6"/>
    <mergeCell ref="O8:S8"/>
    <mergeCell ref="O7:S7"/>
    <mergeCell ref="F3:H3"/>
    <mergeCell ref="J3:L3"/>
    <mergeCell ref="C8:D8"/>
  </mergeCells>
  <conditionalFormatting sqref="L6">
    <cfRule type="cellIs" dxfId="10" priority="13" operator="lessThan">
      <formula>-0.99</formula>
    </cfRule>
    <cfRule type="cellIs" dxfId="9" priority="14" operator="greaterThan">
      <formula>-0.99</formula>
    </cfRule>
  </conditionalFormatting>
  <conditionalFormatting sqref="D21">
    <cfRule type="cellIs" dxfId="8" priority="10" operator="lessThan">
      <formula>-0.01</formula>
    </cfRule>
    <cfRule type="cellIs" dxfId="7" priority="11" operator="greaterThan">
      <formula>-0.01</formula>
    </cfRule>
  </conditionalFormatting>
  <conditionalFormatting sqref="H21">
    <cfRule type="cellIs" dxfId="6" priority="8" operator="lessThan">
      <formula>-0.01</formula>
    </cfRule>
    <cfRule type="cellIs" dxfId="5" priority="9" operator="greaterThan">
      <formula>-0.01</formula>
    </cfRule>
  </conditionalFormatting>
  <conditionalFormatting sqref="L21">
    <cfRule type="cellIs" dxfId="4" priority="6" operator="lessThan">
      <formula>-0.01</formula>
    </cfRule>
    <cfRule type="cellIs" dxfId="3" priority="7" operator="greaterThan">
      <formula>-0.01</formula>
    </cfRule>
  </conditionalFormatting>
  <conditionalFormatting sqref="P21">
    <cfRule type="cellIs" dxfId="2" priority="4" operator="lessThan">
      <formula>-0.01</formula>
    </cfRule>
    <cfRule type="cellIs" dxfId="1" priority="5" operator="greaterThan">
      <formula>-0.01</formula>
    </cfRule>
  </conditionalFormatting>
  <conditionalFormatting sqref="S14">
    <cfRule type="cellIs" dxfId="0" priority="1" operator="between">
      <formula>-50</formula>
      <formula>50</formula>
    </cfRule>
  </conditionalFormatting>
  <pageMargins left="0.7" right="0.7" top="0.75" bottom="0.75" header="0.3" footer="0.3"/>
  <pageSetup paperSize="9" orientation="portrait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6447E5-93FD-46D3-8475-B73E8E7757FF}">
  <dimension ref="B1:H13"/>
  <sheetViews>
    <sheetView workbookViewId="0">
      <selection activeCell="F6" sqref="F6"/>
    </sheetView>
  </sheetViews>
  <sheetFormatPr defaultRowHeight="15" x14ac:dyDescent="0.25"/>
  <cols>
    <col min="1" max="1" width="3.42578125" customWidth="1"/>
    <col min="2" max="2" width="29.28515625" customWidth="1"/>
    <col min="4" max="4" width="5.28515625" customWidth="1"/>
    <col min="5" max="5" width="26.7109375" customWidth="1"/>
    <col min="6" max="7" width="13.42578125" style="80" customWidth="1"/>
    <col min="8" max="8" width="13.140625" customWidth="1"/>
    <col min="10" max="10" width="28.140625" customWidth="1"/>
    <col min="11" max="12" width="15.28515625" customWidth="1"/>
    <col min="13" max="13" width="13.140625" customWidth="1"/>
  </cols>
  <sheetData>
    <row r="1" spans="2:8" ht="15.75" thickBot="1" x14ac:dyDescent="0.3"/>
    <row r="2" spans="2:8" ht="15.75" thickBot="1" x14ac:dyDescent="0.3">
      <c r="B2" s="158" t="s">
        <v>121</v>
      </c>
      <c r="C2" s="159"/>
      <c r="E2" s="158" t="s">
        <v>122</v>
      </c>
      <c r="F2" s="160"/>
      <c r="G2" s="160"/>
      <c r="H2" s="159"/>
    </row>
    <row r="3" spans="2:8" x14ac:dyDescent="0.25">
      <c r="B3" s="35" t="s">
        <v>48</v>
      </c>
      <c r="C3" s="66">
        <v>3</v>
      </c>
      <c r="E3" s="36"/>
      <c r="F3" s="81" t="s">
        <v>110</v>
      </c>
      <c r="G3" s="81" t="s">
        <v>111</v>
      </c>
      <c r="H3" s="77"/>
    </row>
    <row r="4" spans="2:8" x14ac:dyDescent="0.25">
      <c r="B4" s="36" t="s">
        <v>49</v>
      </c>
      <c r="C4" s="67">
        <v>2.5</v>
      </c>
      <c r="E4" s="36" t="s">
        <v>109</v>
      </c>
      <c r="F4" s="107">
        <v>450</v>
      </c>
      <c r="G4" s="107">
        <v>450</v>
      </c>
      <c r="H4" s="77" t="s">
        <v>116</v>
      </c>
    </row>
    <row r="5" spans="2:8" x14ac:dyDescent="0.25">
      <c r="B5" s="36" t="s">
        <v>50</v>
      </c>
      <c r="C5" s="37">
        <f>C3-C4</f>
        <v>0.5</v>
      </c>
      <c r="E5" s="36" t="s">
        <v>112</v>
      </c>
      <c r="F5" s="107">
        <v>15</v>
      </c>
      <c r="G5" s="107">
        <v>24</v>
      </c>
      <c r="H5" s="77" t="s">
        <v>115</v>
      </c>
    </row>
    <row r="6" spans="2:8" x14ac:dyDescent="0.25">
      <c r="B6" s="36" t="s">
        <v>51</v>
      </c>
      <c r="C6" s="38">
        <v>0.1</v>
      </c>
      <c r="E6" s="36" t="s">
        <v>113</v>
      </c>
      <c r="F6" s="107">
        <v>300</v>
      </c>
      <c r="G6" s="107">
        <v>380</v>
      </c>
      <c r="H6" s="77" t="s">
        <v>116</v>
      </c>
    </row>
    <row r="7" spans="2:8" x14ac:dyDescent="0.25">
      <c r="B7" s="36" t="s">
        <v>52</v>
      </c>
      <c r="C7" s="39">
        <f>C5*C6</f>
        <v>0.05</v>
      </c>
      <c r="E7" s="36" t="s">
        <v>114</v>
      </c>
      <c r="F7" s="107">
        <v>18</v>
      </c>
      <c r="G7" s="107">
        <v>20</v>
      </c>
      <c r="H7" s="77" t="s">
        <v>115</v>
      </c>
    </row>
    <row r="8" spans="2:8" x14ac:dyDescent="0.25">
      <c r="B8" s="36" t="s">
        <v>7</v>
      </c>
      <c r="C8" s="67">
        <v>450</v>
      </c>
      <c r="E8" s="36" t="s">
        <v>117</v>
      </c>
      <c r="F8" s="82">
        <f>F4*0.6</f>
        <v>270</v>
      </c>
      <c r="G8" s="82">
        <f>G4*0.9</f>
        <v>405</v>
      </c>
      <c r="H8" s="77" t="s">
        <v>118</v>
      </c>
    </row>
    <row r="9" spans="2:8" ht="15.75" thickBot="1" x14ac:dyDescent="0.3">
      <c r="B9" s="36" t="s">
        <v>53</v>
      </c>
      <c r="C9" s="37">
        <f>C7*C8</f>
        <v>22.5</v>
      </c>
      <c r="E9" s="36" t="s">
        <v>54</v>
      </c>
      <c r="F9" s="83">
        <f>(F5-F7)*30</f>
        <v>-90</v>
      </c>
      <c r="G9" s="83">
        <f>(G5-G7)*30</f>
        <v>120</v>
      </c>
      <c r="H9" s="77" t="s">
        <v>0</v>
      </c>
    </row>
    <row r="10" spans="2:8" ht="15.75" thickBot="1" x14ac:dyDescent="0.3">
      <c r="B10" s="36" t="s">
        <v>54</v>
      </c>
      <c r="C10" s="67">
        <v>60</v>
      </c>
      <c r="E10" s="40" t="s">
        <v>119</v>
      </c>
      <c r="F10" s="84">
        <f>(F8-F6)/F9*1000</f>
        <v>333.33333333333331</v>
      </c>
      <c r="G10" s="85">
        <f>(G8-G6)/G9*1000</f>
        <v>208.33333333333334</v>
      </c>
      <c r="H10" s="78" t="s">
        <v>120</v>
      </c>
    </row>
    <row r="11" spans="2:8" ht="15.75" thickBot="1" x14ac:dyDescent="0.3">
      <c r="B11" s="40" t="s">
        <v>56</v>
      </c>
      <c r="C11" s="41">
        <f>C9/C10</f>
        <v>0.375</v>
      </c>
    </row>
    <row r="12" spans="2:8" ht="15.75" thickBot="1" x14ac:dyDescent="0.3"/>
    <row r="13" spans="2:8" ht="15.75" thickBot="1" x14ac:dyDescent="0.3">
      <c r="B13" s="42" t="s">
        <v>55</v>
      </c>
      <c r="C13" s="43">
        <f>C11*1000</f>
        <v>375</v>
      </c>
      <c r="E13" s="86" t="s">
        <v>123</v>
      </c>
    </row>
  </sheetData>
  <sheetProtection sheet="1" objects="1" scenarios="1"/>
  <mergeCells count="2">
    <mergeCell ref="B2:C2"/>
    <mergeCell ref="E2:H2"/>
  </mergeCells>
  <pageMargins left="0.7" right="0.7" top="0.75" bottom="0.75" header="0.3" footer="0.3"/>
  <pageSetup paperSize="9" orientation="portrait" horizontalDpi="4294967293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D7BDD-C067-4EBC-B5EF-DF6976050938}">
  <dimension ref="B1:G13"/>
  <sheetViews>
    <sheetView workbookViewId="0">
      <selection activeCell="F4" sqref="F4:F12"/>
    </sheetView>
  </sheetViews>
  <sheetFormatPr defaultRowHeight="15" x14ac:dyDescent="0.25"/>
  <cols>
    <col min="1" max="1" width="3.140625" style="5" customWidth="1"/>
    <col min="2" max="2" width="25.28515625" style="5" customWidth="1"/>
    <col min="3" max="7" width="12.7109375" style="44" customWidth="1"/>
    <col min="8" max="16384" width="9.140625" style="5"/>
  </cols>
  <sheetData>
    <row r="1" spans="2:7" ht="15.75" thickBot="1" x14ac:dyDescent="0.3"/>
    <row r="2" spans="2:7" ht="16.5" thickBot="1" x14ac:dyDescent="0.3">
      <c r="B2" s="161" t="s">
        <v>92</v>
      </c>
      <c r="C2" s="162"/>
      <c r="D2" s="162"/>
      <c r="E2" s="162"/>
      <c r="F2" s="162"/>
      <c r="G2" s="163"/>
    </row>
    <row r="3" spans="2:7" x14ac:dyDescent="0.25">
      <c r="B3" s="52" t="s">
        <v>94</v>
      </c>
      <c r="C3" s="53" t="s">
        <v>95</v>
      </c>
      <c r="D3" s="53" t="s">
        <v>96</v>
      </c>
      <c r="E3" s="53" t="s">
        <v>10</v>
      </c>
      <c r="F3" s="53" t="s">
        <v>23</v>
      </c>
      <c r="G3" s="54" t="s">
        <v>97</v>
      </c>
    </row>
    <row r="4" spans="2:7" x14ac:dyDescent="0.25">
      <c r="B4" s="57" t="s">
        <v>100</v>
      </c>
      <c r="C4" s="68">
        <v>3</v>
      </c>
      <c r="D4" s="69">
        <v>0.25</v>
      </c>
      <c r="E4" s="45">
        <f>C4*(1-D4)</f>
        <v>2.25</v>
      </c>
      <c r="F4" s="68">
        <v>7.5</v>
      </c>
      <c r="G4" s="46">
        <f>F4*E4</f>
        <v>16.875</v>
      </c>
    </row>
    <row r="5" spans="2:7" x14ac:dyDescent="0.25">
      <c r="B5" s="57" t="s">
        <v>98</v>
      </c>
      <c r="C5" s="68">
        <v>3</v>
      </c>
      <c r="D5" s="69">
        <v>0.25</v>
      </c>
      <c r="E5" s="45">
        <f t="shared" ref="E5:E12" si="0">C5*(1-D5)</f>
        <v>2.25</v>
      </c>
      <c r="F5" s="68">
        <v>10</v>
      </c>
      <c r="G5" s="46">
        <f t="shared" ref="G5:G12" si="1">F5*E5</f>
        <v>22.5</v>
      </c>
    </row>
    <row r="6" spans="2:7" x14ac:dyDescent="0.25">
      <c r="B6" s="57" t="s">
        <v>99</v>
      </c>
      <c r="C6" s="68">
        <v>3</v>
      </c>
      <c r="D6" s="69">
        <v>0.1</v>
      </c>
      <c r="E6" s="45">
        <f t="shared" si="0"/>
        <v>2.7</v>
      </c>
      <c r="F6" s="68">
        <v>11</v>
      </c>
      <c r="G6" s="46">
        <f t="shared" si="1"/>
        <v>29.700000000000003</v>
      </c>
    </row>
    <row r="7" spans="2:7" x14ac:dyDescent="0.25">
      <c r="B7" s="57"/>
      <c r="C7" s="68"/>
      <c r="D7" s="69"/>
      <c r="E7" s="45">
        <f t="shared" si="0"/>
        <v>0</v>
      </c>
      <c r="F7" s="68"/>
      <c r="G7" s="46">
        <f t="shared" si="1"/>
        <v>0</v>
      </c>
    </row>
    <row r="8" spans="2:7" x14ac:dyDescent="0.25">
      <c r="B8" s="57"/>
      <c r="C8" s="68"/>
      <c r="D8" s="69"/>
      <c r="E8" s="45">
        <f t="shared" si="0"/>
        <v>0</v>
      </c>
      <c r="F8" s="68"/>
      <c r="G8" s="46">
        <f t="shared" si="1"/>
        <v>0</v>
      </c>
    </row>
    <row r="9" spans="2:7" x14ac:dyDescent="0.25">
      <c r="B9" s="57"/>
      <c r="C9" s="68"/>
      <c r="D9" s="69"/>
      <c r="E9" s="45">
        <f t="shared" si="0"/>
        <v>0</v>
      </c>
      <c r="F9" s="68"/>
      <c r="G9" s="46">
        <f t="shared" si="1"/>
        <v>0</v>
      </c>
    </row>
    <row r="10" spans="2:7" x14ac:dyDescent="0.25">
      <c r="B10" s="57"/>
      <c r="C10" s="68"/>
      <c r="D10" s="69"/>
      <c r="E10" s="45">
        <f t="shared" si="0"/>
        <v>0</v>
      </c>
      <c r="F10" s="68"/>
      <c r="G10" s="46">
        <f t="shared" si="1"/>
        <v>0</v>
      </c>
    </row>
    <row r="11" spans="2:7" x14ac:dyDescent="0.25">
      <c r="B11" s="57"/>
      <c r="C11" s="68"/>
      <c r="D11" s="69"/>
      <c r="E11" s="45">
        <f t="shared" si="0"/>
        <v>0</v>
      </c>
      <c r="F11" s="68"/>
      <c r="G11" s="46">
        <f t="shared" si="1"/>
        <v>0</v>
      </c>
    </row>
    <row r="12" spans="2:7" ht="15.75" thickBot="1" x14ac:dyDescent="0.3">
      <c r="B12" s="57"/>
      <c r="C12" s="68"/>
      <c r="D12" s="69"/>
      <c r="E12" s="50">
        <f t="shared" si="0"/>
        <v>0</v>
      </c>
      <c r="F12" s="70"/>
      <c r="G12" s="46">
        <f t="shared" si="1"/>
        <v>0</v>
      </c>
    </row>
    <row r="13" spans="2:7" ht="15.75" thickBot="1" x14ac:dyDescent="0.3">
      <c r="B13" s="47" t="s">
        <v>101</v>
      </c>
      <c r="C13" s="48"/>
      <c r="D13" s="48"/>
      <c r="E13" s="51">
        <f>SUM(E4:E12)</f>
        <v>7.2</v>
      </c>
      <c r="F13" s="51">
        <f>G13/E13</f>
        <v>9.59375</v>
      </c>
      <c r="G13" s="49">
        <f>SUM(G4:G12)</f>
        <v>69.075000000000003</v>
      </c>
    </row>
  </sheetData>
  <sheetProtection sheet="1" objects="1" scenarios="1"/>
  <mergeCells count="1">
    <mergeCell ref="B2:G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3C246-42C0-4581-B928-26FC704F3D2B}">
  <dimension ref="B1:L21"/>
  <sheetViews>
    <sheetView tabSelected="1" topLeftCell="A2" workbookViewId="0">
      <selection activeCell="O14" sqref="O14"/>
    </sheetView>
  </sheetViews>
  <sheetFormatPr defaultRowHeight="15" x14ac:dyDescent="0.25"/>
  <cols>
    <col min="1" max="1" width="3.28515625" customWidth="1"/>
    <col min="2" max="2" width="20.85546875" customWidth="1"/>
    <col min="3" max="5" width="12" customWidth="1"/>
    <col min="6" max="6" width="2.140625" customWidth="1"/>
    <col min="7" max="10" width="12" customWidth="1"/>
    <col min="12" max="12" width="0" hidden="1" customWidth="1"/>
  </cols>
  <sheetData>
    <row r="1" spans="2:12" ht="15.75" thickBot="1" x14ac:dyDescent="0.3"/>
    <row r="2" spans="2:12" ht="16.5" thickBot="1" x14ac:dyDescent="0.3">
      <c r="B2" s="161" t="s">
        <v>108</v>
      </c>
      <c r="C2" s="162"/>
      <c r="D2" s="162"/>
      <c r="E2" s="163"/>
      <c r="G2" s="168" t="s">
        <v>180</v>
      </c>
      <c r="H2" s="169"/>
      <c r="I2" s="169"/>
      <c r="J2" s="170"/>
      <c r="K2" s="167"/>
    </row>
    <row r="3" spans="2:12" x14ac:dyDescent="0.25">
      <c r="B3" s="52" t="s">
        <v>105</v>
      </c>
      <c r="C3" s="53" t="s">
        <v>20</v>
      </c>
      <c r="D3" s="53" t="s">
        <v>106</v>
      </c>
      <c r="E3" s="54" t="s">
        <v>107</v>
      </c>
      <c r="G3" s="171" t="s">
        <v>188</v>
      </c>
      <c r="H3" s="172" t="s">
        <v>181</v>
      </c>
      <c r="I3" s="172" t="s">
        <v>50</v>
      </c>
      <c r="J3" s="173" t="s">
        <v>182</v>
      </c>
    </row>
    <row r="4" spans="2:12" x14ac:dyDescent="0.25">
      <c r="B4" s="57" t="s">
        <v>170</v>
      </c>
      <c r="C4" s="72">
        <v>1500</v>
      </c>
      <c r="D4" s="68">
        <v>4</v>
      </c>
      <c r="E4" s="74">
        <f>C4*D4</f>
        <v>6000</v>
      </c>
      <c r="G4" s="180">
        <v>1500</v>
      </c>
      <c r="H4" s="121">
        <v>1</v>
      </c>
      <c r="I4" s="6">
        <f>C4-G4</f>
        <v>0</v>
      </c>
      <c r="J4" s="174">
        <f>I4/H4</f>
        <v>0</v>
      </c>
      <c r="L4">
        <f>J4*D4</f>
        <v>0</v>
      </c>
    </row>
    <row r="5" spans="2:12" x14ac:dyDescent="0.25">
      <c r="B5" s="57" t="s">
        <v>171</v>
      </c>
      <c r="C5" s="72">
        <v>1550</v>
      </c>
      <c r="D5" s="68">
        <v>4</v>
      </c>
      <c r="E5" s="74">
        <f t="shared" ref="E5:E20" si="0">C5*D5</f>
        <v>6200</v>
      </c>
      <c r="G5" s="180">
        <v>1500</v>
      </c>
      <c r="H5" s="121">
        <v>2</v>
      </c>
      <c r="I5" s="6">
        <f t="shared" ref="I5:I20" si="1">C5-G5</f>
        <v>50</v>
      </c>
      <c r="J5" s="174">
        <f t="shared" ref="J5:J20" si="2">I5/H5</f>
        <v>25</v>
      </c>
      <c r="L5">
        <f t="shared" ref="L5:L20" si="3">J5*D5</f>
        <v>100</v>
      </c>
    </row>
    <row r="6" spans="2:12" x14ac:dyDescent="0.25">
      <c r="B6" s="57" t="s">
        <v>172</v>
      </c>
      <c r="C6" s="72">
        <v>1600</v>
      </c>
      <c r="D6" s="68">
        <v>4</v>
      </c>
      <c r="E6" s="74">
        <f t="shared" si="0"/>
        <v>6400</v>
      </c>
      <c r="G6" s="180">
        <v>1550</v>
      </c>
      <c r="H6" s="121">
        <v>3</v>
      </c>
      <c r="I6" s="6">
        <f t="shared" si="1"/>
        <v>50</v>
      </c>
      <c r="J6" s="174">
        <f t="shared" si="2"/>
        <v>16.666666666666668</v>
      </c>
      <c r="L6">
        <f t="shared" si="3"/>
        <v>66.666666666666671</v>
      </c>
    </row>
    <row r="7" spans="2:12" x14ac:dyDescent="0.25">
      <c r="B7" s="57" t="s">
        <v>173</v>
      </c>
      <c r="C7" s="72">
        <v>1450</v>
      </c>
      <c r="D7" s="68">
        <v>4</v>
      </c>
      <c r="E7" s="74">
        <f t="shared" si="0"/>
        <v>5800</v>
      </c>
      <c r="G7" s="180">
        <v>1400</v>
      </c>
      <c r="H7" s="121">
        <v>4</v>
      </c>
      <c r="I7" s="6">
        <f t="shared" si="1"/>
        <v>50</v>
      </c>
      <c r="J7" s="174">
        <f t="shared" si="2"/>
        <v>12.5</v>
      </c>
      <c r="L7">
        <f t="shared" si="3"/>
        <v>50</v>
      </c>
    </row>
    <row r="8" spans="2:12" x14ac:dyDescent="0.25">
      <c r="B8" s="57" t="s">
        <v>174</v>
      </c>
      <c r="C8" s="72">
        <v>1600</v>
      </c>
      <c r="D8" s="68">
        <v>5</v>
      </c>
      <c r="E8" s="74">
        <f t="shared" si="0"/>
        <v>8000</v>
      </c>
      <c r="G8" s="180">
        <v>1500</v>
      </c>
      <c r="H8" s="121">
        <v>5</v>
      </c>
      <c r="I8" s="6">
        <f t="shared" si="1"/>
        <v>100</v>
      </c>
      <c r="J8" s="174">
        <f t="shared" si="2"/>
        <v>20</v>
      </c>
      <c r="L8">
        <f t="shared" si="3"/>
        <v>100</v>
      </c>
    </row>
    <row r="9" spans="2:12" x14ac:dyDescent="0.25">
      <c r="B9" s="57" t="s">
        <v>183</v>
      </c>
      <c r="C9" s="72">
        <v>2000</v>
      </c>
      <c r="D9" s="68">
        <v>5</v>
      </c>
      <c r="E9" s="74">
        <f t="shared" si="0"/>
        <v>10000</v>
      </c>
      <c r="G9" s="180">
        <v>1450</v>
      </c>
      <c r="H9" s="121">
        <v>13</v>
      </c>
      <c r="I9" s="6">
        <f t="shared" si="1"/>
        <v>550</v>
      </c>
      <c r="J9" s="174">
        <f t="shared" si="2"/>
        <v>42.307692307692307</v>
      </c>
      <c r="L9">
        <f t="shared" si="3"/>
        <v>211.53846153846155</v>
      </c>
    </row>
    <row r="10" spans="2:12" x14ac:dyDescent="0.25">
      <c r="B10" s="57" t="s">
        <v>184</v>
      </c>
      <c r="C10" s="72">
        <v>1800</v>
      </c>
      <c r="D10" s="68">
        <v>5</v>
      </c>
      <c r="E10" s="74">
        <f t="shared" si="0"/>
        <v>9000</v>
      </c>
      <c r="G10" s="180">
        <v>1400</v>
      </c>
      <c r="H10" s="121">
        <v>14</v>
      </c>
      <c r="I10" s="6">
        <f t="shared" si="1"/>
        <v>400</v>
      </c>
      <c r="J10" s="174">
        <f t="shared" si="2"/>
        <v>28.571428571428573</v>
      </c>
      <c r="L10">
        <f t="shared" si="3"/>
        <v>142.85714285714286</v>
      </c>
    </row>
    <row r="11" spans="2:12" x14ac:dyDescent="0.25">
      <c r="B11" s="57" t="s">
        <v>185</v>
      </c>
      <c r="C11" s="72">
        <v>1900</v>
      </c>
      <c r="D11" s="68">
        <v>5</v>
      </c>
      <c r="E11" s="74">
        <f t="shared" si="0"/>
        <v>9500</v>
      </c>
      <c r="G11" s="180">
        <v>1500</v>
      </c>
      <c r="H11" s="121">
        <v>15</v>
      </c>
      <c r="I11" s="6">
        <f t="shared" si="1"/>
        <v>400</v>
      </c>
      <c r="J11" s="174">
        <f t="shared" si="2"/>
        <v>26.666666666666668</v>
      </c>
      <c r="L11">
        <f t="shared" si="3"/>
        <v>133.33333333333334</v>
      </c>
    </row>
    <row r="12" spans="2:12" x14ac:dyDescent="0.25">
      <c r="B12" s="57" t="s">
        <v>187</v>
      </c>
      <c r="C12" s="72">
        <v>2100</v>
      </c>
      <c r="D12" s="68">
        <v>5</v>
      </c>
      <c r="E12" s="74">
        <f t="shared" si="0"/>
        <v>10500</v>
      </c>
      <c r="G12" s="180">
        <v>1500</v>
      </c>
      <c r="H12" s="121">
        <v>16</v>
      </c>
      <c r="I12" s="6">
        <f t="shared" si="1"/>
        <v>600</v>
      </c>
      <c r="J12" s="174">
        <f t="shared" si="2"/>
        <v>37.5</v>
      </c>
      <c r="L12">
        <f t="shared" si="3"/>
        <v>187.5</v>
      </c>
    </row>
    <row r="13" spans="2:12" x14ac:dyDescent="0.25">
      <c r="B13" s="57" t="s">
        <v>186</v>
      </c>
      <c r="C13" s="72">
        <v>2200</v>
      </c>
      <c r="D13" s="68">
        <v>5</v>
      </c>
      <c r="E13" s="74">
        <f t="shared" si="0"/>
        <v>11000</v>
      </c>
      <c r="G13" s="180">
        <v>1500</v>
      </c>
      <c r="H13" s="121">
        <v>17</v>
      </c>
      <c r="I13" s="6">
        <f t="shared" si="1"/>
        <v>700</v>
      </c>
      <c r="J13" s="174">
        <f t="shared" si="2"/>
        <v>41.176470588235297</v>
      </c>
      <c r="L13">
        <f t="shared" si="3"/>
        <v>205.88235294117649</v>
      </c>
    </row>
    <row r="14" spans="2:12" x14ac:dyDescent="0.25">
      <c r="B14" s="57" t="s">
        <v>175</v>
      </c>
      <c r="C14" s="72">
        <v>2800</v>
      </c>
      <c r="D14" s="68">
        <v>5</v>
      </c>
      <c r="E14" s="74">
        <f t="shared" si="0"/>
        <v>14000</v>
      </c>
      <c r="G14" s="180">
        <v>1450</v>
      </c>
      <c r="H14" s="121">
        <v>26</v>
      </c>
      <c r="I14" s="6">
        <f t="shared" si="1"/>
        <v>1350</v>
      </c>
      <c r="J14" s="174">
        <f t="shared" si="2"/>
        <v>51.92307692307692</v>
      </c>
      <c r="L14">
        <f t="shared" si="3"/>
        <v>259.61538461538458</v>
      </c>
    </row>
    <row r="15" spans="2:12" x14ac:dyDescent="0.25">
      <c r="B15" s="57" t="s">
        <v>176</v>
      </c>
      <c r="C15" s="72">
        <v>2600</v>
      </c>
      <c r="D15" s="68">
        <v>5</v>
      </c>
      <c r="E15" s="74">
        <f t="shared" si="0"/>
        <v>13000</v>
      </c>
      <c r="G15" s="180">
        <v>1500</v>
      </c>
      <c r="H15" s="121">
        <v>27</v>
      </c>
      <c r="I15" s="6">
        <f t="shared" si="1"/>
        <v>1100</v>
      </c>
      <c r="J15" s="174">
        <f t="shared" si="2"/>
        <v>40.74074074074074</v>
      </c>
      <c r="L15">
        <f t="shared" si="3"/>
        <v>203.7037037037037</v>
      </c>
    </row>
    <row r="16" spans="2:12" x14ac:dyDescent="0.25">
      <c r="B16" s="57" t="s">
        <v>177</v>
      </c>
      <c r="C16" s="72">
        <v>3000</v>
      </c>
      <c r="D16" s="68">
        <v>5</v>
      </c>
      <c r="E16" s="74">
        <f t="shared" si="0"/>
        <v>15000</v>
      </c>
      <c r="G16" s="180">
        <v>1500</v>
      </c>
      <c r="H16" s="121">
        <v>28</v>
      </c>
      <c r="I16" s="6">
        <f t="shared" si="1"/>
        <v>1500</v>
      </c>
      <c r="J16" s="174">
        <f t="shared" si="2"/>
        <v>53.571428571428569</v>
      </c>
      <c r="L16">
        <f t="shared" si="3"/>
        <v>267.85714285714283</v>
      </c>
    </row>
    <row r="17" spans="2:12" x14ac:dyDescent="0.25">
      <c r="B17" s="57" t="s">
        <v>178</v>
      </c>
      <c r="C17" s="72">
        <v>3100</v>
      </c>
      <c r="D17" s="68">
        <v>5</v>
      </c>
      <c r="E17" s="74">
        <f t="shared" si="0"/>
        <v>15500</v>
      </c>
      <c r="G17" s="180">
        <v>1550</v>
      </c>
      <c r="H17" s="121">
        <v>29</v>
      </c>
      <c r="I17" s="6">
        <f t="shared" si="1"/>
        <v>1550</v>
      </c>
      <c r="J17" s="174">
        <f t="shared" si="2"/>
        <v>53.448275862068968</v>
      </c>
      <c r="L17">
        <f t="shared" si="3"/>
        <v>267.24137931034483</v>
      </c>
    </row>
    <row r="18" spans="2:12" x14ac:dyDescent="0.25">
      <c r="B18" s="57" t="s">
        <v>179</v>
      </c>
      <c r="C18" s="72">
        <v>2400</v>
      </c>
      <c r="D18" s="68">
        <v>5</v>
      </c>
      <c r="E18" s="74">
        <f t="shared" si="0"/>
        <v>12000</v>
      </c>
      <c r="G18" s="180">
        <v>1500</v>
      </c>
      <c r="H18" s="121">
        <v>30</v>
      </c>
      <c r="I18" s="6">
        <f t="shared" si="1"/>
        <v>900</v>
      </c>
      <c r="J18" s="174">
        <f t="shared" si="2"/>
        <v>30</v>
      </c>
      <c r="L18">
        <f t="shared" si="3"/>
        <v>150</v>
      </c>
    </row>
    <row r="19" spans="2:12" x14ac:dyDescent="0.25">
      <c r="B19" s="57"/>
      <c r="C19" s="72"/>
      <c r="D19" s="68"/>
      <c r="E19" s="74">
        <f t="shared" si="0"/>
        <v>0</v>
      </c>
      <c r="G19" s="180"/>
      <c r="H19" s="121"/>
      <c r="I19" s="6">
        <f t="shared" si="1"/>
        <v>0</v>
      </c>
      <c r="J19" s="174">
        <f>IFERROR(I19/H19,0)</f>
        <v>0</v>
      </c>
      <c r="L19">
        <f t="shared" si="3"/>
        <v>0</v>
      </c>
    </row>
    <row r="20" spans="2:12" ht="15.75" thickBot="1" x14ac:dyDescent="0.3">
      <c r="B20" s="57"/>
      <c r="C20" s="72"/>
      <c r="D20" s="68"/>
      <c r="E20" s="74">
        <f t="shared" si="0"/>
        <v>0</v>
      </c>
      <c r="G20" s="181"/>
      <c r="H20" s="182"/>
      <c r="I20" s="175">
        <f t="shared" si="1"/>
        <v>0</v>
      </c>
      <c r="J20" s="176">
        <f>IFERROR(I20/H20,0)</f>
        <v>0</v>
      </c>
      <c r="L20">
        <f t="shared" si="3"/>
        <v>0</v>
      </c>
    </row>
    <row r="21" spans="2:12" ht="15.75" thickBot="1" x14ac:dyDescent="0.3">
      <c r="B21" s="88" t="s">
        <v>137</v>
      </c>
      <c r="C21" s="73">
        <f>E21/D21</f>
        <v>2139.4366197183099</v>
      </c>
      <c r="D21" s="71">
        <f>SUM(D4:D20)</f>
        <v>71</v>
      </c>
      <c r="E21" s="75">
        <f>SUM(E4:E20)</f>
        <v>151900</v>
      </c>
      <c r="G21" s="177" t="s">
        <v>189</v>
      </c>
      <c r="H21" s="178"/>
      <c r="I21" s="178"/>
      <c r="J21" s="179">
        <f>L21/D21</f>
        <v>33.045007997512066</v>
      </c>
      <c r="L21">
        <f>SUM(L4:L20)</f>
        <v>2346.1955678233567</v>
      </c>
    </row>
  </sheetData>
  <mergeCells count="2">
    <mergeCell ref="B2:E2"/>
    <mergeCell ref="G2:J2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9B92F-BBF9-41A7-9BEE-D5FCCBA4406F}">
  <dimension ref="A1:O27"/>
  <sheetViews>
    <sheetView workbookViewId="0">
      <selection activeCell="B3" sqref="B3"/>
    </sheetView>
  </sheetViews>
  <sheetFormatPr defaultRowHeight="15" x14ac:dyDescent="0.25"/>
  <cols>
    <col min="1" max="1" width="17.42578125" customWidth="1"/>
    <col min="4" max="4" width="2.7109375" customWidth="1"/>
    <col min="5" max="5" width="17.42578125" customWidth="1"/>
    <col min="8" max="8" width="2.7109375" customWidth="1"/>
    <col min="9" max="9" width="17.42578125" customWidth="1"/>
    <col min="12" max="12" width="2.7109375" customWidth="1"/>
    <col min="13" max="13" width="17.42578125" customWidth="1"/>
    <col min="16" max="16" width="37.28515625" customWidth="1"/>
  </cols>
  <sheetData>
    <row r="1" spans="1:15" ht="7.5" customHeight="1" thickBot="1" x14ac:dyDescent="0.3"/>
    <row r="2" spans="1:15" ht="15.75" thickBot="1" x14ac:dyDescent="0.3">
      <c r="A2" s="164" t="s">
        <v>169</v>
      </c>
      <c r="B2" s="165"/>
      <c r="C2" s="166"/>
      <c r="E2" s="164" t="s">
        <v>131</v>
      </c>
      <c r="F2" s="165"/>
      <c r="G2" s="166"/>
      <c r="I2" s="164" t="s">
        <v>131</v>
      </c>
      <c r="J2" s="165"/>
      <c r="K2" s="166"/>
      <c r="M2" s="164" t="s">
        <v>131</v>
      </c>
      <c r="N2" s="165"/>
      <c r="O2" s="166"/>
    </row>
    <row r="3" spans="1:15" x14ac:dyDescent="0.25">
      <c r="A3" s="35" t="s">
        <v>125</v>
      </c>
      <c r="B3" s="108">
        <v>30</v>
      </c>
      <c r="C3" s="76" t="s">
        <v>132</v>
      </c>
      <c r="E3" s="35" t="s">
        <v>125</v>
      </c>
      <c r="F3" s="108">
        <v>30</v>
      </c>
      <c r="G3" s="76" t="s">
        <v>132</v>
      </c>
      <c r="I3" s="35" t="s">
        <v>125</v>
      </c>
      <c r="J3" s="108">
        <v>30</v>
      </c>
      <c r="K3" s="76" t="s">
        <v>132</v>
      </c>
      <c r="M3" s="35" t="s">
        <v>125</v>
      </c>
      <c r="N3" s="108">
        <v>30</v>
      </c>
      <c r="O3" s="76" t="s">
        <v>132</v>
      </c>
    </row>
    <row r="4" spans="1:15" x14ac:dyDescent="0.25">
      <c r="A4" s="36" t="s">
        <v>130</v>
      </c>
      <c r="B4" s="109">
        <v>360</v>
      </c>
      <c r="C4" s="87" t="s">
        <v>134</v>
      </c>
      <c r="E4" s="36" t="s">
        <v>130</v>
      </c>
      <c r="F4" s="109">
        <v>180</v>
      </c>
      <c r="G4" s="87" t="s">
        <v>134</v>
      </c>
      <c r="I4" s="36" t="s">
        <v>130</v>
      </c>
      <c r="J4" s="109">
        <v>200</v>
      </c>
      <c r="K4" s="87" t="s">
        <v>134</v>
      </c>
      <c r="M4" s="36" t="s">
        <v>130</v>
      </c>
      <c r="N4" s="109">
        <v>270</v>
      </c>
      <c r="O4" s="87" t="s">
        <v>134</v>
      </c>
    </row>
    <row r="5" spans="1:15" ht="15.75" thickBot="1" x14ac:dyDescent="0.3">
      <c r="A5" s="36" t="s">
        <v>126</v>
      </c>
      <c r="B5" s="110">
        <v>6</v>
      </c>
      <c r="C5" s="77" t="s">
        <v>132</v>
      </c>
      <c r="E5" s="36" t="s">
        <v>126</v>
      </c>
      <c r="F5" s="110">
        <v>4</v>
      </c>
      <c r="G5" s="77" t="s">
        <v>132</v>
      </c>
      <c r="I5" s="36" t="s">
        <v>126</v>
      </c>
      <c r="J5" s="110">
        <v>4</v>
      </c>
      <c r="K5" s="77" t="s">
        <v>132</v>
      </c>
      <c r="M5" s="36" t="s">
        <v>126</v>
      </c>
      <c r="N5" s="110">
        <v>6</v>
      </c>
      <c r="O5" s="77" t="s">
        <v>132</v>
      </c>
    </row>
    <row r="6" spans="1:15" ht="15.75" thickBot="1" x14ac:dyDescent="0.3">
      <c r="A6" s="40" t="s">
        <v>127</v>
      </c>
      <c r="B6" s="79">
        <f>IFERROR(B5/B3*B7,0)</f>
        <v>388.22673787362976</v>
      </c>
      <c r="C6" s="78" t="s">
        <v>133</v>
      </c>
      <c r="E6" s="40" t="s">
        <v>127</v>
      </c>
      <c r="F6" s="79">
        <f>IFERROR(F5/F3*F7,0)</f>
        <v>183.01183932558388</v>
      </c>
      <c r="G6" s="78" t="s">
        <v>133</v>
      </c>
      <c r="I6" s="40" t="s">
        <v>127</v>
      </c>
      <c r="J6" s="79">
        <f>IFERROR(J5/J3*J7,0)</f>
        <v>192.91141701520627</v>
      </c>
      <c r="K6" s="78" t="s">
        <v>133</v>
      </c>
      <c r="M6" s="40" t="s">
        <v>127</v>
      </c>
      <c r="N6" s="79">
        <f>IFERROR(N5/N3*N7,0)</f>
        <v>336.21421742692564</v>
      </c>
      <c r="O6" s="78" t="s">
        <v>133</v>
      </c>
    </row>
    <row r="7" spans="1:15" hidden="1" x14ac:dyDescent="0.25">
      <c r="A7" t="s">
        <v>128</v>
      </c>
      <c r="B7">
        <f>2*3.14*B8/360*B4</f>
        <v>1941.1336893681487</v>
      </c>
      <c r="C7">
        <f>B3/B4*360</f>
        <v>30</v>
      </c>
      <c r="E7" t="s">
        <v>128</v>
      </c>
      <c r="F7">
        <f>2*3.14*F8/360*F4</f>
        <v>1372.5887949418791</v>
      </c>
      <c r="G7">
        <f>F3/F4*360</f>
        <v>60</v>
      </c>
      <c r="I7" t="s">
        <v>128</v>
      </c>
      <c r="J7">
        <f>2*3.14*J8/360*J4</f>
        <v>1446.8356276140471</v>
      </c>
      <c r="K7">
        <f>J3/J4*360</f>
        <v>54</v>
      </c>
      <c r="M7" t="s">
        <v>128</v>
      </c>
      <c r="N7">
        <f>2*3.14*N8/360*N4</f>
        <v>1681.071087134628</v>
      </c>
      <c r="O7">
        <f>N3/N4*360</f>
        <v>40</v>
      </c>
    </row>
    <row r="8" spans="1:15" hidden="1" x14ac:dyDescent="0.25">
      <c r="A8" t="s">
        <v>129</v>
      </c>
      <c r="B8">
        <f>SQRT(C8)</f>
        <v>309.09772123696632</v>
      </c>
      <c r="C8">
        <f>C7/3.14*10000</f>
        <v>95541.401273885334</v>
      </c>
      <c r="E8" t="s">
        <v>129</v>
      </c>
      <c r="F8">
        <f>SQRT(G8)</f>
        <v>437.13018947193598</v>
      </c>
      <c r="G8">
        <f>G7/3.14*10000</f>
        <v>191082.80254777067</v>
      </c>
      <c r="I8" t="s">
        <v>129</v>
      </c>
      <c r="J8">
        <f>SQRT(K8)</f>
        <v>414.69810982568225</v>
      </c>
      <c r="K8">
        <f>K7/3.14*10000</f>
        <v>171974.52229299361</v>
      </c>
      <c r="M8" t="s">
        <v>129</v>
      </c>
      <c r="N8">
        <f>SQRT(O8)</f>
        <v>356.91530512412481</v>
      </c>
      <c r="O8">
        <f>O7/3.14*10000</f>
        <v>127388.53503184712</v>
      </c>
    </row>
    <row r="9" spans="1:15" ht="10.5" customHeight="1" thickBot="1" x14ac:dyDescent="0.3"/>
    <row r="10" spans="1:15" ht="15.75" thickBot="1" x14ac:dyDescent="0.3">
      <c r="A10" s="164" t="s">
        <v>131</v>
      </c>
      <c r="B10" s="165"/>
      <c r="C10" s="166"/>
      <c r="E10" s="164" t="s">
        <v>131</v>
      </c>
      <c r="F10" s="165"/>
      <c r="G10" s="166"/>
      <c r="I10" s="164" t="s">
        <v>131</v>
      </c>
      <c r="J10" s="165"/>
      <c r="K10" s="166"/>
      <c r="M10" s="164" t="s">
        <v>131</v>
      </c>
      <c r="N10" s="165"/>
      <c r="O10" s="166"/>
    </row>
    <row r="11" spans="1:15" x14ac:dyDescent="0.25">
      <c r="A11" s="35" t="s">
        <v>125</v>
      </c>
      <c r="B11" s="108"/>
      <c r="C11" s="76" t="s">
        <v>132</v>
      </c>
      <c r="E11" s="35" t="s">
        <v>125</v>
      </c>
      <c r="F11" s="108"/>
      <c r="G11" s="76" t="s">
        <v>132</v>
      </c>
      <c r="I11" s="35" t="s">
        <v>125</v>
      </c>
      <c r="J11" s="108">
        <v>4</v>
      </c>
      <c r="K11" s="76" t="s">
        <v>132</v>
      </c>
      <c r="M11" s="35" t="s">
        <v>125</v>
      </c>
      <c r="N11" s="108"/>
      <c r="O11" s="76" t="s">
        <v>132</v>
      </c>
    </row>
    <row r="12" spans="1:15" x14ac:dyDescent="0.25">
      <c r="A12" s="36" t="s">
        <v>130</v>
      </c>
      <c r="B12" s="109"/>
      <c r="C12" s="87" t="s">
        <v>134</v>
      </c>
      <c r="E12" s="36" t="s">
        <v>130</v>
      </c>
      <c r="F12" s="109"/>
      <c r="G12" s="87" t="s">
        <v>134</v>
      </c>
      <c r="I12" s="36" t="s">
        <v>130</v>
      </c>
      <c r="J12" s="109"/>
      <c r="K12" s="87" t="s">
        <v>134</v>
      </c>
      <c r="M12" s="36" t="s">
        <v>130</v>
      </c>
      <c r="N12" s="109"/>
      <c r="O12" s="87" t="s">
        <v>134</v>
      </c>
    </row>
    <row r="13" spans="1:15" ht="15.75" thickBot="1" x14ac:dyDescent="0.3">
      <c r="A13" s="36" t="s">
        <v>126</v>
      </c>
      <c r="B13" s="110"/>
      <c r="C13" s="77" t="s">
        <v>132</v>
      </c>
      <c r="E13" s="36" t="s">
        <v>126</v>
      </c>
      <c r="F13" s="110"/>
      <c r="G13" s="77" t="s">
        <v>132</v>
      </c>
      <c r="I13" s="36" t="s">
        <v>126</v>
      </c>
      <c r="J13" s="110"/>
      <c r="K13" s="77" t="s">
        <v>132</v>
      </c>
      <c r="M13" s="36" t="s">
        <v>126</v>
      </c>
      <c r="N13" s="110"/>
      <c r="O13" s="77" t="s">
        <v>132</v>
      </c>
    </row>
    <row r="14" spans="1:15" ht="15.75" thickBot="1" x14ac:dyDescent="0.3">
      <c r="A14" s="40" t="s">
        <v>127</v>
      </c>
      <c r="B14" s="79">
        <f>IFERROR(B13/B11*B15,0)</f>
        <v>0</v>
      </c>
      <c r="C14" s="78" t="s">
        <v>133</v>
      </c>
      <c r="E14" s="40" t="s">
        <v>127</v>
      </c>
      <c r="F14" s="79">
        <f>IFERROR(F13/F11*F15,0)</f>
        <v>0</v>
      </c>
      <c r="G14" s="78" t="s">
        <v>133</v>
      </c>
      <c r="I14" s="40" t="s">
        <v>127</v>
      </c>
      <c r="J14" s="79">
        <f>IFERROR(J13/J11*J15,0)</f>
        <v>0</v>
      </c>
      <c r="K14" s="78" t="s">
        <v>133</v>
      </c>
      <c r="M14" s="40" t="s">
        <v>127</v>
      </c>
      <c r="N14" s="79">
        <f>IFERROR(N13/N11*N15,0)</f>
        <v>0</v>
      </c>
      <c r="O14" s="78" t="s">
        <v>133</v>
      </c>
    </row>
    <row r="15" spans="1:15" hidden="1" x14ac:dyDescent="0.25">
      <c r="A15" t="s">
        <v>128</v>
      </c>
      <c r="B15" t="e">
        <f>2*3.14*B16/360*B12</f>
        <v>#DIV/0!</v>
      </c>
      <c r="C15" t="e">
        <f>B11/B12*360</f>
        <v>#DIV/0!</v>
      </c>
      <c r="E15" t="s">
        <v>128</v>
      </c>
      <c r="F15" t="e">
        <f>2*3.14*F16/360*F12</f>
        <v>#DIV/0!</v>
      </c>
      <c r="G15" t="e">
        <f>F11/F12*360</f>
        <v>#DIV/0!</v>
      </c>
      <c r="I15" t="s">
        <v>128</v>
      </c>
      <c r="J15" t="e">
        <f>2*3.14*J16/360*J12</f>
        <v>#DIV/0!</v>
      </c>
      <c r="K15" t="e">
        <f>J11/J12*360</f>
        <v>#DIV/0!</v>
      </c>
      <c r="M15" t="s">
        <v>128</v>
      </c>
      <c r="N15" t="e">
        <f>2*3.14*N16/360*N12</f>
        <v>#DIV/0!</v>
      </c>
      <c r="O15" t="e">
        <f>N11/N12*360</f>
        <v>#DIV/0!</v>
      </c>
    </row>
    <row r="16" spans="1:15" hidden="1" x14ac:dyDescent="0.25">
      <c r="A16" t="s">
        <v>129</v>
      </c>
      <c r="B16" t="e">
        <f>SQRT(C16)</f>
        <v>#DIV/0!</v>
      </c>
      <c r="C16" t="e">
        <f>C15/3.14*10000</f>
        <v>#DIV/0!</v>
      </c>
      <c r="E16" t="s">
        <v>129</v>
      </c>
      <c r="F16" t="e">
        <f>SQRT(G16)</f>
        <v>#DIV/0!</v>
      </c>
      <c r="G16" t="e">
        <f>G15/3.14*10000</f>
        <v>#DIV/0!</v>
      </c>
      <c r="I16" t="s">
        <v>129</v>
      </c>
      <c r="J16" t="e">
        <f>SQRT(K16)</f>
        <v>#DIV/0!</v>
      </c>
      <c r="K16" t="e">
        <f>K15/3.14*10000</f>
        <v>#DIV/0!</v>
      </c>
      <c r="M16" t="s">
        <v>129</v>
      </c>
      <c r="N16" t="e">
        <f>SQRT(O16)</f>
        <v>#DIV/0!</v>
      </c>
      <c r="O16" t="e">
        <f>O15/3.14*10000</f>
        <v>#DIV/0!</v>
      </c>
    </row>
    <row r="17" spans="1:15" ht="10.5" customHeight="1" thickBot="1" x14ac:dyDescent="0.3"/>
    <row r="18" spans="1:15" ht="15.75" thickBot="1" x14ac:dyDescent="0.3">
      <c r="A18" s="164" t="s">
        <v>131</v>
      </c>
      <c r="B18" s="165"/>
      <c r="C18" s="166"/>
      <c r="E18" s="164" t="s">
        <v>131</v>
      </c>
      <c r="F18" s="165"/>
      <c r="G18" s="166"/>
      <c r="I18" s="164" t="s">
        <v>131</v>
      </c>
      <c r="J18" s="165"/>
      <c r="K18" s="166"/>
      <c r="M18" s="164" t="s">
        <v>131</v>
      </c>
      <c r="N18" s="165"/>
      <c r="O18" s="166"/>
    </row>
    <row r="19" spans="1:15" x14ac:dyDescent="0.25">
      <c r="A19" s="35" t="s">
        <v>125</v>
      </c>
      <c r="B19" s="108"/>
      <c r="C19" s="76" t="s">
        <v>132</v>
      </c>
      <c r="E19" s="35" t="s">
        <v>125</v>
      </c>
      <c r="F19" s="108"/>
      <c r="G19" s="76" t="s">
        <v>132</v>
      </c>
      <c r="I19" s="35" t="s">
        <v>125</v>
      </c>
      <c r="J19" s="108"/>
      <c r="K19" s="76" t="s">
        <v>132</v>
      </c>
      <c r="M19" s="35" t="s">
        <v>125</v>
      </c>
      <c r="N19" s="108"/>
      <c r="O19" s="76" t="s">
        <v>132</v>
      </c>
    </row>
    <row r="20" spans="1:15" x14ac:dyDescent="0.25">
      <c r="A20" s="36" t="s">
        <v>130</v>
      </c>
      <c r="B20" s="109"/>
      <c r="C20" s="87" t="s">
        <v>134</v>
      </c>
      <c r="E20" s="36" t="s">
        <v>130</v>
      </c>
      <c r="F20" s="109"/>
      <c r="G20" s="87" t="s">
        <v>134</v>
      </c>
      <c r="I20" s="36" t="s">
        <v>130</v>
      </c>
      <c r="J20" s="109"/>
      <c r="K20" s="87" t="s">
        <v>134</v>
      </c>
      <c r="M20" s="36" t="s">
        <v>130</v>
      </c>
      <c r="N20" s="109"/>
      <c r="O20" s="87" t="s">
        <v>134</v>
      </c>
    </row>
    <row r="21" spans="1:15" ht="15.75" thickBot="1" x14ac:dyDescent="0.3">
      <c r="A21" s="36" t="s">
        <v>126</v>
      </c>
      <c r="B21" s="110"/>
      <c r="C21" s="77" t="s">
        <v>132</v>
      </c>
      <c r="E21" s="36" t="s">
        <v>126</v>
      </c>
      <c r="F21" s="110"/>
      <c r="G21" s="77" t="s">
        <v>132</v>
      </c>
      <c r="I21" s="36" t="s">
        <v>126</v>
      </c>
      <c r="J21" s="110"/>
      <c r="K21" s="77" t="s">
        <v>132</v>
      </c>
      <c r="M21" s="36" t="s">
        <v>126</v>
      </c>
      <c r="N21" s="110"/>
      <c r="O21" s="77" t="s">
        <v>132</v>
      </c>
    </row>
    <row r="22" spans="1:15" ht="15.75" thickBot="1" x14ac:dyDescent="0.3">
      <c r="A22" s="40" t="s">
        <v>127</v>
      </c>
      <c r="B22" s="79">
        <f>IFERROR(B21/B19*B23,0)</f>
        <v>0</v>
      </c>
      <c r="C22" s="78" t="s">
        <v>133</v>
      </c>
      <c r="E22" s="40" t="s">
        <v>127</v>
      </c>
      <c r="F22" s="79">
        <f>IFERROR(F21/F19*F23,0)</f>
        <v>0</v>
      </c>
      <c r="G22" s="78" t="s">
        <v>133</v>
      </c>
      <c r="I22" s="40" t="s">
        <v>127</v>
      </c>
      <c r="J22" s="79">
        <f>IFERROR(J21/J19*J23,0)</f>
        <v>0</v>
      </c>
      <c r="K22" s="78" t="s">
        <v>133</v>
      </c>
      <c r="M22" s="40" t="s">
        <v>127</v>
      </c>
      <c r="N22" s="79">
        <f>IFERROR(N21/N19*N23,0)</f>
        <v>0</v>
      </c>
      <c r="O22" s="78" t="s">
        <v>133</v>
      </c>
    </row>
    <row r="23" spans="1:15" hidden="1" x14ac:dyDescent="0.25">
      <c r="A23" t="s">
        <v>128</v>
      </c>
      <c r="B23" t="e">
        <f>2*3.14*B24/360*B20</f>
        <v>#DIV/0!</v>
      </c>
      <c r="C23" t="e">
        <f>B19/B20*360</f>
        <v>#DIV/0!</v>
      </c>
      <c r="E23" t="s">
        <v>128</v>
      </c>
      <c r="F23" t="e">
        <f>2*3.14*F24/360*F20</f>
        <v>#DIV/0!</v>
      </c>
      <c r="G23" t="e">
        <f>F19/F20*360</f>
        <v>#DIV/0!</v>
      </c>
      <c r="I23" t="s">
        <v>128</v>
      </c>
      <c r="J23" t="e">
        <f>2*3.14*J24/360*J20</f>
        <v>#DIV/0!</v>
      </c>
      <c r="K23" t="e">
        <f>J19/J20*360</f>
        <v>#DIV/0!</v>
      </c>
      <c r="M23" t="s">
        <v>128</v>
      </c>
      <c r="N23" t="e">
        <f>2*3.14*N24/360*N20</f>
        <v>#DIV/0!</v>
      </c>
      <c r="O23" t="e">
        <f>N19/N20*360</f>
        <v>#DIV/0!</v>
      </c>
    </row>
    <row r="24" spans="1:15" hidden="1" x14ac:dyDescent="0.25">
      <c r="A24" t="s">
        <v>129</v>
      </c>
      <c r="B24" t="e">
        <f>SQRT(C24)</f>
        <v>#DIV/0!</v>
      </c>
      <c r="C24" t="e">
        <f>C23/3.14*10000</f>
        <v>#DIV/0!</v>
      </c>
      <c r="E24" t="s">
        <v>129</v>
      </c>
      <c r="F24" t="e">
        <f>SQRT(G24)</f>
        <v>#DIV/0!</v>
      </c>
      <c r="G24" t="e">
        <f>G23/3.14*10000</f>
        <v>#DIV/0!</v>
      </c>
      <c r="I24" t="s">
        <v>129</v>
      </c>
      <c r="J24" t="e">
        <f>SQRT(K24)</f>
        <v>#DIV/0!</v>
      </c>
      <c r="K24" t="e">
        <f>K23/3.14*10000</f>
        <v>#DIV/0!</v>
      </c>
      <c r="M24" t="s">
        <v>129</v>
      </c>
      <c r="N24" t="e">
        <f>SQRT(O24)</f>
        <v>#DIV/0!</v>
      </c>
      <c r="O24" t="e">
        <f>O23/3.14*10000</f>
        <v>#DIV/0!</v>
      </c>
    </row>
    <row r="26" spans="1:15" x14ac:dyDescent="0.25">
      <c r="A26" s="86" t="s">
        <v>136</v>
      </c>
    </row>
    <row r="27" spans="1:15" x14ac:dyDescent="0.25">
      <c r="A27" s="86" t="s">
        <v>135</v>
      </c>
    </row>
  </sheetData>
  <sheetProtection sheet="1" objects="1" scenarios="1"/>
  <mergeCells count="12">
    <mergeCell ref="A2:C2"/>
    <mergeCell ref="E2:G2"/>
    <mergeCell ref="I2:K2"/>
    <mergeCell ref="M2:O2"/>
    <mergeCell ref="M10:O10"/>
    <mergeCell ref="M18:O18"/>
    <mergeCell ref="A10:C10"/>
    <mergeCell ref="A18:C18"/>
    <mergeCell ref="E10:G10"/>
    <mergeCell ref="E18:G18"/>
    <mergeCell ref="I10:K10"/>
    <mergeCell ref="I18:K18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5115EB-6B01-4746-9934-AA7C7B32DD22}">
  <dimension ref="A1:R161"/>
  <sheetViews>
    <sheetView workbookViewId="0">
      <pane xSplit="2" ySplit="8" topLeftCell="C9" activePane="bottomRight" state="frozen"/>
      <selection activeCell="G4" sqref="G4"/>
      <selection pane="topRight" activeCell="G4" sqref="G4"/>
      <selection pane="bottomLeft" activeCell="G4" sqref="G4"/>
      <selection pane="bottomRight" activeCell="G4" sqref="G4"/>
    </sheetView>
  </sheetViews>
  <sheetFormatPr defaultRowHeight="15" outlineLevelRow="1" x14ac:dyDescent="0.25"/>
  <cols>
    <col min="1" max="1" width="13.5703125" customWidth="1"/>
    <col min="2" max="2" width="14.42578125" customWidth="1"/>
    <col min="3" max="18" width="10.85546875" customWidth="1"/>
  </cols>
  <sheetData>
    <row r="1" spans="1:18" ht="21" x14ac:dyDescent="0.35">
      <c r="A1" s="135" t="s">
        <v>168</v>
      </c>
    </row>
    <row r="2" spans="1:18" x14ac:dyDescent="0.25"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</row>
    <row r="3" spans="1:18" ht="15.75" thickBot="1" x14ac:dyDescent="0.3"/>
    <row r="4" spans="1:18" ht="15.75" thickBot="1" x14ac:dyDescent="0.3">
      <c r="A4" t="s">
        <v>149</v>
      </c>
      <c r="B4" s="136">
        <v>43410</v>
      </c>
      <c r="I4" s="122"/>
      <c r="J4" s="123"/>
    </row>
    <row r="5" spans="1:18" x14ac:dyDescent="0.25">
      <c r="A5" s="1"/>
    </row>
    <row r="6" spans="1:18" x14ac:dyDescent="0.25">
      <c r="A6" s="1"/>
    </row>
    <row r="7" spans="1:18" x14ac:dyDescent="0.25">
      <c r="A7" s="1"/>
    </row>
    <row r="8" spans="1:18" ht="15.75" thickBot="1" x14ac:dyDescent="0.3">
      <c r="A8" s="1" t="s">
        <v>141</v>
      </c>
      <c r="C8" s="1" t="s">
        <v>151</v>
      </c>
      <c r="D8" s="1" t="s">
        <v>152</v>
      </c>
      <c r="E8" s="1" t="s">
        <v>153</v>
      </c>
      <c r="F8" s="1" t="s">
        <v>154</v>
      </c>
      <c r="G8" s="1" t="s">
        <v>155</v>
      </c>
      <c r="H8" s="1" t="s">
        <v>156</v>
      </c>
      <c r="I8" s="1" t="s">
        <v>157</v>
      </c>
      <c r="J8" s="1" t="s">
        <v>158</v>
      </c>
      <c r="K8" s="1" t="s">
        <v>159</v>
      </c>
      <c r="L8" s="1" t="s">
        <v>160</v>
      </c>
      <c r="M8" s="1" t="s">
        <v>161</v>
      </c>
      <c r="N8" s="1" t="s">
        <v>162</v>
      </c>
      <c r="O8" s="1" t="s">
        <v>163</v>
      </c>
      <c r="P8" s="1" t="s">
        <v>164</v>
      </c>
      <c r="Q8" s="1" t="s">
        <v>165</v>
      </c>
      <c r="R8" s="1" t="s">
        <v>166</v>
      </c>
    </row>
    <row r="9" spans="1:18" ht="15.75" thickBot="1" x14ac:dyDescent="0.3">
      <c r="A9" s="134" t="s">
        <v>167</v>
      </c>
      <c r="B9" s="125" t="s">
        <v>142</v>
      </c>
      <c r="C9" s="126">
        <v>43392</v>
      </c>
      <c r="D9" s="126">
        <v>43409</v>
      </c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7"/>
    </row>
    <row r="10" spans="1:18" hidden="1" outlineLevel="1" x14ac:dyDescent="0.25">
      <c r="A10" s="36"/>
      <c r="B10" s="128" t="s">
        <v>143</v>
      </c>
      <c r="C10" s="121">
        <v>2500</v>
      </c>
      <c r="D10" s="121">
        <v>2800</v>
      </c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9"/>
    </row>
    <row r="11" spans="1:18" hidden="1" outlineLevel="1" x14ac:dyDescent="0.25">
      <c r="A11" s="36"/>
      <c r="B11" s="128" t="s">
        <v>144</v>
      </c>
      <c r="C11" s="124">
        <v>43393</v>
      </c>
      <c r="D11" s="124">
        <v>43410</v>
      </c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30"/>
    </row>
    <row r="12" spans="1:18" hidden="1" outlineLevel="1" x14ac:dyDescent="0.25">
      <c r="A12" s="36"/>
      <c r="B12" s="128" t="s">
        <v>145</v>
      </c>
      <c r="C12" s="121">
        <v>1500</v>
      </c>
      <c r="D12" s="121">
        <v>1500</v>
      </c>
      <c r="E12" s="121"/>
      <c r="F12" s="121"/>
      <c r="G12" s="121"/>
      <c r="H12" s="121"/>
      <c r="I12" s="121"/>
      <c r="J12" s="121"/>
      <c r="K12" s="121"/>
      <c r="L12" s="121"/>
      <c r="M12" s="121"/>
      <c r="N12" s="121"/>
      <c r="O12" s="121"/>
      <c r="P12" s="121"/>
      <c r="Q12" s="121"/>
      <c r="R12" s="129"/>
    </row>
    <row r="13" spans="1:18" hidden="1" outlineLevel="1" x14ac:dyDescent="0.25">
      <c r="A13" s="36"/>
      <c r="B13" s="128" t="s">
        <v>146</v>
      </c>
      <c r="C13" s="128">
        <f>C10-C12</f>
        <v>1000</v>
      </c>
      <c r="D13" s="128">
        <f>D10-D12</f>
        <v>1300</v>
      </c>
      <c r="E13" s="128">
        <f t="shared" ref="E13:R13" si="0">E10-E12</f>
        <v>0</v>
      </c>
      <c r="F13" s="128">
        <f t="shared" si="0"/>
        <v>0</v>
      </c>
      <c r="G13" s="128">
        <f t="shared" si="0"/>
        <v>0</v>
      </c>
      <c r="H13" s="128">
        <f t="shared" si="0"/>
        <v>0</v>
      </c>
      <c r="I13" s="128">
        <f t="shared" si="0"/>
        <v>0</v>
      </c>
      <c r="J13" s="128">
        <f t="shared" si="0"/>
        <v>0</v>
      </c>
      <c r="K13" s="128">
        <f t="shared" si="0"/>
        <v>0</v>
      </c>
      <c r="L13" s="128">
        <f t="shared" si="0"/>
        <v>0</v>
      </c>
      <c r="M13" s="128">
        <f t="shared" si="0"/>
        <v>0</v>
      </c>
      <c r="N13" s="128">
        <f t="shared" si="0"/>
        <v>0</v>
      </c>
      <c r="O13" s="128">
        <f t="shared" si="0"/>
        <v>0</v>
      </c>
      <c r="P13" s="128">
        <f t="shared" si="0"/>
        <v>0</v>
      </c>
      <c r="Q13" s="128">
        <f t="shared" si="0"/>
        <v>0</v>
      </c>
      <c r="R13" s="77">
        <f t="shared" si="0"/>
        <v>0</v>
      </c>
    </row>
    <row r="14" spans="1:18" hidden="1" outlineLevel="1" x14ac:dyDescent="0.25">
      <c r="A14" s="36"/>
      <c r="B14" s="128" t="s">
        <v>147</v>
      </c>
      <c r="C14" s="128">
        <f t="shared" ref="C14:R14" si="1">_xlfn.DAYS($B$4,C11)</f>
        <v>17</v>
      </c>
      <c r="D14" s="128">
        <f t="shared" si="1"/>
        <v>0</v>
      </c>
      <c r="E14" s="128">
        <f t="shared" si="1"/>
        <v>43410</v>
      </c>
      <c r="F14" s="128">
        <f t="shared" si="1"/>
        <v>43410</v>
      </c>
      <c r="G14" s="128">
        <f t="shared" si="1"/>
        <v>43410</v>
      </c>
      <c r="H14" s="128">
        <f t="shared" si="1"/>
        <v>43410</v>
      </c>
      <c r="I14" s="128">
        <f t="shared" si="1"/>
        <v>43410</v>
      </c>
      <c r="J14" s="128">
        <f t="shared" si="1"/>
        <v>43410</v>
      </c>
      <c r="K14" s="128">
        <f t="shared" si="1"/>
        <v>43410</v>
      </c>
      <c r="L14" s="128">
        <f t="shared" si="1"/>
        <v>43410</v>
      </c>
      <c r="M14" s="128">
        <f t="shared" si="1"/>
        <v>43410</v>
      </c>
      <c r="N14" s="128">
        <f t="shared" si="1"/>
        <v>43410</v>
      </c>
      <c r="O14" s="128">
        <f t="shared" si="1"/>
        <v>43410</v>
      </c>
      <c r="P14" s="128">
        <f t="shared" si="1"/>
        <v>43410</v>
      </c>
      <c r="Q14" s="128">
        <f t="shared" si="1"/>
        <v>43410</v>
      </c>
      <c r="R14" s="77">
        <f t="shared" si="1"/>
        <v>43410</v>
      </c>
    </row>
    <row r="15" spans="1:18" hidden="1" outlineLevel="1" x14ac:dyDescent="0.25">
      <c r="A15" s="36"/>
      <c r="B15" s="128" t="s">
        <v>148</v>
      </c>
      <c r="C15" s="128"/>
      <c r="D15" s="131">
        <f>IFERROR(D13/_xlfn.DAYS(D9,C11),0)</f>
        <v>81.25</v>
      </c>
      <c r="E15" s="131">
        <f t="shared" ref="E15:R15" si="2">IFERROR(E13/_xlfn.DAYS(E9,D11),0)</f>
        <v>0</v>
      </c>
      <c r="F15" s="131">
        <f t="shared" si="2"/>
        <v>0</v>
      </c>
      <c r="G15" s="131">
        <f t="shared" si="2"/>
        <v>0</v>
      </c>
      <c r="H15" s="131">
        <f t="shared" si="2"/>
        <v>0</v>
      </c>
      <c r="I15" s="131">
        <f t="shared" si="2"/>
        <v>0</v>
      </c>
      <c r="J15" s="131">
        <f t="shared" si="2"/>
        <v>0</v>
      </c>
      <c r="K15" s="131">
        <f t="shared" si="2"/>
        <v>0</v>
      </c>
      <c r="L15" s="131">
        <f t="shared" si="2"/>
        <v>0</v>
      </c>
      <c r="M15" s="131">
        <f t="shared" si="2"/>
        <v>0</v>
      </c>
      <c r="N15" s="131">
        <f t="shared" si="2"/>
        <v>0</v>
      </c>
      <c r="O15" s="131">
        <f t="shared" si="2"/>
        <v>0</v>
      </c>
      <c r="P15" s="131">
        <f t="shared" si="2"/>
        <v>0</v>
      </c>
      <c r="Q15" s="131">
        <f t="shared" si="2"/>
        <v>0</v>
      </c>
      <c r="R15" s="132">
        <f t="shared" si="2"/>
        <v>0</v>
      </c>
    </row>
    <row r="16" spans="1:18" ht="15.75" hidden="1" outlineLevel="1" thickBot="1" x14ac:dyDescent="0.3">
      <c r="A16" s="40"/>
      <c r="B16" s="133" t="s">
        <v>150</v>
      </c>
      <c r="C16" s="133">
        <f>C13/1000</f>
        <v>1</v>
      </c>
      <c r="D16" s="133">
        <f>SUM($C$13:D13)/1000</f>
        <v>2.2999999999999998</v>
      </c>
      <c r="E16" s="133">
        <f>SUM($C$13:E13)/1000</f>
        <v>2.2999999999999998</v>
      </c>
      <c r="F16" s="133">
        <f>SUM($C$13:F13)/1000</f>
        <v>2.2999999999999998</v>
      </c>
      <c r="G16" s="133">
        <f>SUM($C$13:G13)/1000</f>
        <v>2.2999999999999998</v>
      </c>
      <c r="H16" s="133">
        <f>SUM($C$13:H13)/1000</f>
        <v>2.2999999999999998</v>
      </c>
      <c r="I16" s="133">
        <f>SUM($C$13:I13)/1000</f>
        <v>2.2999999999999998</v>
      </c>
      <c r="J16" s="133">
        <f>SUM($C$13:J13)/1000</f>
        <v>2.2999999999999998</v>
      </c>
      <c r="K16" s="133">
        <f>SUM($C$13:K13)/1000</f>
        <v>2.2999999999999998</v>
      </c>
      <c r="L16" s="133">
        <f>SUM($C$13:L13)/1000</f>
        <v>2.2999999999999998</v>
      </c>
      <c r="M16" s="133">
        <f>SUM($C$13:M13)/1000</f>
        <v>2.2999999999999998</v>
      </c>
      <c r="N16" s="133">
        <f>SUM($C$13:N13)/1000</f>
        <v>2.2999999999999998</v>
      </c>
      <c r="O16" s="133">
        <f>SUM($C$13:O13)/1000</f>
        <v>2.2999999999999998</v>
      </c>
      <c r="P16" s="133">
        <f>SUM($C$13:P13)/1000</f>
        <v>2.2999999999999998</v>
      </c>
      <c r="Q16" s="133">
        <f>SUM($C$13:Q13)/1000</f>
        <v>2.2999999999999998</v>
      </c>
      <c r="R16" s="78">
        <f>SUM($C$13:R13)/1000</f>
        <v>2.2999999999999998</v>
      </c>
    </row>
    <row r="17" spans="1:18" ht="15.75" collapsed="1" thickBot="1" x14ac:dyDescent="0.3"/>
    <row r="18" spans="1:18" ht="15.75" thickBot="1" x14ac:dyDescent="0.3">
      <c r="A18" s="134" t="s">
        <v>167</v>
      </c>
      <c r="B18" s="125" t="s">
        <v>142</v>
      </c>
      <c r="C18" s="126">
        <v>43392</v>
      </c>
      <c r="D18" s="126">
        <v>43409</v>
      </c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26"/>
      <c r="P18" s="126"/>
      <c r="Q18" s="126"/>
      <c r="R18" s="127"/>
    </row>
    <row r="19" spans="1:18" hidden="1" outlineLevel="1" x14ac:dyDescent="0.25">
      <c r="A19" s="36"/>
      <c r="B19" s="128" t="s">
        <v>143</v>
      </c>
      <c r="C19" s="121">
        <v>2500</v>
      </c>
      <c r="D19" s="121">
        <v>2800</v>
      </c>
      <c r="E19" s="121"/>
      <c r="F19" s="121"/>
      <c r="G19" s="121"/>
      <c r="H19" s="121"/>
      <c r="I19" s="121"/>
      <c r="J19" s="121"/>
      <c r="K19" s="121"/>
      <c r="L19" s="121"/>
      <c r="M19" s="121"/>
      <c r="N19" s="121"/>
      <c r="O19" s="121"/>
      <c r="P19" s="121"/>
      <c r="Q19" s="121"/>
      <c r="R19" s="129"/>
    </row>
    <row r="20" spans="1:18" hidden="1" outlineLevel="1" x14ac:dyDescent="0.25">
      <c r="A20" s="36"/>
      <c r="B20" s="128" t="s">
        <v>144</v>
      </c>
      <c r="C20" s="124">
        <v>43393</v>
      </c>
      <c r="D20" s="124">
        <v>43410</v>
      </c>
      <c r="E20" s="124"/>
      <c r="F20" s="124"/>
      <c r="G20" s="124"/>
      <c r="H20" s="124"/>
      <c r="I20" s="124"/>
      <c r="J20" s="124"/>
      <c r="K20" s="124"/>
      <c r="L20" s="124"/>
      <c r="M20" s="124"/>
      <c r="N20" s="124"/>
      <c r="O20" s="124"/>
      <c r="P20" s="124"/>
      <c r="Q20" s="124"/>
      <c r="R20" s="130"/>
    </row>
    <row r="21" spans="1:18" hidden="1" outlineLevel="1" x14ac:dyDescent="0.25">
      <c r="A21" s="36"/>
      <c r="B21" s="128" t="s">
        <v>145</v>
      </c>
      <c r="C21" s="121">
        <v>1500</v>
      </c>
      <c r="D21" s="121">
        <v>1500</v>
      </c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1"/>
      <c r="R21" s="129"/>
    </row>
    <row r="22" spans="1:18" hidden="1" outlineLevel="1" x14ac:dyDescent="0.25">
      <c r="A22" s="36"/>
      <c r="B22" s="128" t="s">
        <v>146</v>
      </c>
      <c r="C22" s="128">
        <f>C19-C21</f>
        <v>1000</v>
      </c>
      <c r="D22" s="128">
        <f>D19-D21</f>
        <v>1300</v>
      </c>
      <c r="E22" s="128">
        <f t="shared" ref="E22" si="3">E19-E21</f>
        <v>0</v>
      </c>
      <c r="F22" s="128">
        <f t="shared" ref="F22" si="4">F19-F21</f>
        <v>0</v>
      </c>
      <c r="G22" s="128">
        <f t="shared" ref="G22" si="5">G19-G21</f>
        <v>0</v>
      </c>
      <c r="H22" s="128">
        <f t="shared" ref="H22" si="6">H19-H21</f>
        <v>0</v>
      </c>
      <c r="I22" s="128">
        <f t="shared" ref="I22" si="7">I19-I21</f>
        <v>0</v>
      </c>
      <c r="J22" s="128">
        <f t="shared" ref="J22" si="8">J19-J21</f>
        <v>0</v>
      </c>
      <c r="K22" s="128">
        <f t="shared" ref="K22" si="9">K19-K21</f>
        <v>0</v>
      </c>
      <c r="L22" s="128">
        <f t="shared" ref="L22" si="10">L19-L21</f>
        <v>0</v>
      </c>
      <c r="M22" s="128">
        <f t="shared" ref="M22" si="11">M19-M21</f>
        <v>0</v>
      </c>
      <c r="N22" s="128">
        <f t="shared" ref="N22" si="12">N19-N21</f>
        <v>0</v>
      </c>
      <c r="O22" s="128">
        <f t="shared" ref="O22" si="13">O19-O21</f>
        <v>0</v>
      </c>
      <c r="P22" s="128">
        <f t="shared" ref="P22" si="14">P19-P21</f>
        <v>0</v>
      </c>
      <c r="Q22" s="128">
        <f t="shared" ref="Q22" si="15">Q19-Q21</f>
        <v>0</v>
      </c>
      <c r="R22" s="77">
        <f t="shared" ref="R22" si="16">R19-R21</f>
        <v>0</v>
      </c>
    </row>
    <row r="23" spans="1:18" hidden="1" outlineLevel="1" x14ac:dyDescent="0.25">
      <c r="A23" s="36"/>
      <c r="B23" s="128" t="s">
        <v>147</v>
      </c>
      <c r="C23" s="128">
        <f t="shared" ref="C23:R23" si="17">_xlfn.DAYS($B$4,C20)</f>
        <v>17</v>
      </c>
      <c r="D23" s="128">
        <f t="shared" si="17"/>
        <v>0</v>
      </c>
      <c r="E23" s="128">
        <f t="shared" si="17"/>
        <v>43410</v>
      </c>
      <c r="F23" s="128">
        <f t="shared" si="17"/>
        <v>43410</v>
      </c>
      <c r="G23" s="128">
        <f t="shared" si="17"/>
        <v>43410</v>
      </c>
      <c r="H23" s="128">
        <f t="shared" si="17"/>
        <v>43410</v>
      </c>
      <c r="I23" s="128">
        <f t="shared" si="17"/>
        <v>43410</v>
      </c>
      <c r="J23" s="128">
        <f t="shared" si="17"/>
        <v>43410</v>
      </c>
      <c r="K23" s="128">
        <f t="shared" si="17"/>
        <v>43410</v>
      </c>
      <c r="L23" s="128">
        <f t="shared" si="17"/>
        <v>43410</v>
      </c>
      <c r="M23" s="128">
        <f t="shared" si="17"/>
        <v>43410</v>
      </c>
      <c r="N23" s="128">
        <f t="shared" si="17"/>
        <v>43410</v>
      </c>
      <c r="O23" s="128">
        <f t="shared" si="17"/>
        <v>43410</v>
      </c>
      <c r="P23" s="128">
        <f t="shared" si="17"/>
        <v>43410</v>
      </c>
      <c r="Q23" s="128">
        <f t="shared" si="17"/>
        <v>43410</v>
      </c>
      <c r="R23" s="77">
        <f t="shared" si="17"/>
        <v>43410</v>
      </c>
    </row>
    <row r="24" spans="1:18" hidden="1" outlineLevel="1" x14ac:dyDescent="0.25">
      <c r="A24" s="36"/>
      <c r="B24" s="128" t="s">
        <v>148</v>
      </c>
      <c r="C24" s="128"/>
      <c r="D24" s="131">
        <f>IFERROR(D22/_xlfn.DAYS(D18,C20),0)</f>
        <v>81.25</v>
      </c>
      <c r="E24" s="131">
        <f t="shared" ref="E24:R24" si="18">IFERROR(E22/_xlfn.DAYS(E18,D20),0)</f>
        <v>0</v>
      </c>
      <c r="F24" s="131">
        <f t="shared" si="18"/>
        <v>0</v>
      </c>
      <c r="G24" s="131">
        <f t="shared" si="18"/>
        <v>0</v>
      </c>
      <c r="H24" s="131">
        <f t="shared" si="18"/>
        <v>0</v>
      </c>
      <c r="I24" s="131">
        <f t="shared" si="18"/>
        <v>0</v>
      </c>
      <c r="J24" s="131">
        <f t="shared" si="18"/>
        <v>0</v>
      </c>
      <c r="K24" s="131">
        <f t="shared" si="18"/>
        <v>0</v>
      </c>
      <c r="L24" s="131">
        <f t="shared" si="18"/>
        <v>0</v>
      </c>
      <c r="M24" s="131">
        <f t="shared" si="18"/>
        <v>0</v>
      </c>
      <c r="N24" s="131">
        <f t="shared" si="18"/>
        <v>0</v>
      </c>
      <c r="O24" s="131">
        <f t="shared" si="18"/>
        <v>0</v>
      </c>
      <c r="P24" s="131">
        <f t="shared" si="18"/>
        <v>0</v>
      </c>
      <c r="Q24" s="131">
        <f t="shared" si="18"/>
        <v>0</v>
      </c>
      <c r="R24" s="132">
        <f t="shared" si="18"/>
        <v>0</v>
      </c>
    </row>
    <row r="25" spans="1:18" ht="15.75" hidden="1" outlineLevel="1" thickBot="1" x14ac:dyDescent="0.3">
      <c r="A25" s="40"/>
      <c r="B25" s="133" t="s">
        <v>150</v>
      </c>
      <c r="C25" s="133">
        <f>C22/1000</f>
        <v>1</v>
      </c>
      <c r="D25" s="133">
        <f>SUM($C$13:D22)/1000</f>
        <v>186.60554999999999</v>
      </c>
      <c r="E25" s="133">
        <f>SUM($C$13:E22)/1000</f>
        <v>230.01785000000001</v>
      </c>
      <c r="F25" s="133">
        <f>SUM($C$13:F22)/1000</f>
        <v>273.43015000000003</v>
      </c>
      <c r="G25" s="133">
        <f>SUM($C$13:G22)/1000</f>
        <v>316.84244999999993</v>
      </c>
      <c r="H25" s="133">
        <f>SUM($C$13:H22)/1000</f>
        <v>360.25474999999994</v>
      </c>
      <c r="I25" s="133">
        <f>SUM($C$13:I22)/1000</f>
        <v>403.6670499999999</v>
      </c>
      <c r="J25" s="133">
        <f>SUM($C$13:J22)/1000</f>
        <v>447.07934999999992</v>
      </c>
      <c r="K25" s="133">
        <f>SUM($C$13:K22)/1000</f>
        <v>490.49164999999988</v>
      </c>
      <c r="L25" s="133">
        <f>SUM($C$13:L22)/1000</f>
        <v>533.90395000000001</v>
      </c>
      <c r="M25" s="133">
        <f>SUM($C$13:M22)/1000</f>
        <v>577.31624999999985</v>
      </c>
      <c r="N25" s="133">
        <f>SUM($C$13:N22)/1000</f>
        <v>620.72854999999981</v>
      </c>
      <c r="O25" s="133">
        <f>SUM($C$13:O22)/1000</f>
        <v>664.14084999999989</v>
      </c>
      <c r="P25" s="133">
        <f>SUM($C$13:P22)/1000</f>
        <v>707.55314999999996</v>
      </c>
      <c r="Q25" s="133">
        <f>SUM($C$13:Q22)/1000</f>
        <v>750.9654500000006</v>
      </c>
      <c r="R25" s="78">
        <f>SUM($C$13:R22)/1000</f>
        <v>794.37775000000067</v>
      </c>
    </row>
    <row r="26" spans="1:18" ht="15.75" collapsed="1" thickBot="1" x14ac:dyDescent="0.3"/>
    <row r="27" spans="1:18" ht="15.75" thickBot="1" x14ac:dyDescent="0.3">
      <c r="A27" s="134" t="s">
        <v>167</v>
      </c>
      <c r="B27" s="125" t="s">
        <v>142</v>
      </c>
      <c r="C27" s="126">
        <v>43392</v>
      </c>
      <c r="D27" s="126">
        <v>43409</v>
      </c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126"/>
      <c r="R27" s="127"/>
    </row>
    <row r="28" spans="1:18" hidden="1" outlineLevel="1" x14ac:dyDescent="0.25">
      <c r="A28" s="36"/>
      <c r="B28" s="128" t="s">
        <v>143</v>
      </c>
      <c r="C28" s="121">
        <v>2500</v>
      </c>
      <c r="D28" s="121">
        <v>2800</v>
      </c>
      <c r="E28" s="121"/>
      <c r="F28" s="121"/>
      <c r="G28" s="121"/>
      <c r="H28" s="121"/>
      <c r="I28" s="121"/>
      <c r="J28" s="121"/>
      <c r="K28" s="121"/>
      <c r="L28" s="121"/>
      <c r="M28" s="121"/>
      <c r="N28" s="121"/>
      <c r="O28" s="121"/>
      <c r="P28" s="121"/>
      <c r="Q28" s="121"/>
      <c r="R28" s="129"/>
    </row>
    <row r="29" spans="1:18" hidden="1" outlineLevel="1" x14ac:dyDescent="0.25">
      <c r="A29" s="36"/>
      <c r="B29" s="128" t="s">
        <v>144</v>
      </c>
      <c r="C29" s="124">
        <v>43393</v>
      </c>
      <c r="D29" s="124">
        <v>43410</v>
      </c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30"/>
    </row>
    <row r="30" spans="1:18" hidden="1" outlineLevel="1" x14ac:dyDescent="0.25">
      <c r="A30" s="36"/>
      <c r="B30" s="128" t="s">
        <v>145</v>
      </c>
      <c r="C30" s="121">
        <v>1500</v>
      </c>
      <c r="D30" s="121">
        <v>1500</v>
      </c>
      <c r="E30" s="121"/>
      <c r="F30" s="121"/>
      <c r="G30" s="121"/>
      <c r="H30" s="121"/>
      <c r="I30" s="121"/>
      <c r="J30" s="121"/>
      <c r="K30" s="121"/>
      <c r="L30" s="121"/>
      <c r="M30" s="121"/>
      <c r="N30" s="121"/>
      <c r="O30" s="121"/>
      <c r="P30" s="121"/>
      <c r="Q30" s="121"/>
      <c r="R30" s="129"/>
    </row>
    <row r="31" spans="1:18" hidden="1" outlineLevel="1" x14ac:dyDescent="0.25">
      <c r="A31" s="36"/>
      <c r="B31" s="128" t="s">
        <v>146</v>
      </c>
      <c r="C31" s="128">
        <f>C28-C30</f>
        <v>1000</v>
      </c>
      <c r="D31" s="128">
        <f>D28-D30</f>
        <v>1300</v>
      </c>
      <c r="E31" s="128">
        <f t="shared" ref="E31" si="19">E28-E30</f>
        <v>0</v>
      </c>
      <c r="F31" s="128">
        <f t="shared" ref="F31" si="20">F28-F30</f>
        <v>0</v>
      </c>
      <c r="G31" s="128">
        <f t="shared" ref="G31" si="21">G28-G30</f>
        <v>0</v>
      </c>
      <c r="H31" s="128">
        <f t="shared" ref="H31" si="22">H28-H30</f>
        <v>0</v>
      </c>
      <c r="I31" s="128">
        <f t="shared" ref="I31" si="23">I28-I30</f>
        <v>0</v>
      </c>
      <c r="J31" s="128">
        <f t="shared" ref="J31" si="24">J28-J30</f>
        <v>0</v>
      </c>
      <c r="K31" s="128">
        <f t="shared" ref="K31" si="25">K28-K30</f>
        <v>0</v>
      </c>
      <c r="L31" s="128">
        <f t="shared" ref="L31" si="26">L28-L30</f>
        <v>0</v>
      </c>
      <c r="M31" s="128">
        <f t="shared" ref="M31" si="27">M28-M30</f>
        <v>0</v>
      </c>
      <c r="N31" s="128">
        <f t="shared" ref="N31" si="28">N28-N30</f>
        <v>0</v>
      </c>
      <c r="O31" s="128">
        <f t="shared" ref="O31" si="29">O28-O30</f>
        <v>0</v>
      </c>
      <c r="P31" s="128">
        <f t="shared" ref="P31" si="30">P28-P30</f>
        <v>0</v>
      </c>
      <c r="Q31" s="128">
        <f t="shared" ref="Q31" si="31">Q28-Q30</f>
        <v>0</v>
      </c>
      <c r="R31" s="77">
        <f t="shared" ref="R31" si="32">R28-R30</f>
        <v>0</v>
      </c>
    </row>
    <row r="32" spans="1:18" hidden="1" outlineLevel="1" x14ac:dyDescent="0.25">
      <c r="A32" s="36"/>
      <c r="B32" s="128" t="s">
        <v>147</v>
      </c>
      <c r="C32" s="128">
        <f t="shared" ref="C32:R32" si="33">_xlfn.DAYS($B$4,C29)</f>
        <v>17</v>
      </c>
      <c r="D32" s="128">
        <f t="shared" si="33"/>
        <v>0</v>
      </c>
      <c r="E32" s="128">
        <f t="shared" si="33"/>
        <v>43410</v>
      </c>
      <c r="F32" s="128">
        <f t="shared" si="33"/>
        <v>43410</v>
      </c>
      <c r="G32" s="128">
        <f t="shared" si="33"/>
        <v>43410</v>
      </c>
      <c r="H32" s="128">
        <f t="shared" si="33"/>
        <v>43410</v>
      </c>
      <c r="I32" s="128">
        <f t="shared" si="33"/>
        <v>43410</v>
      </c>
      <c r="J32" s="128">
        <f t="shared" si="33"/>
        <v>43410</v>
      </c>
      <c r="K32" s="128">
        <f t="shared" si="33"/>
        <v>43410</v>
      </c>
      <c r="L32" s="128">
        <f t="shared" si="33"/>
        <v>43410</v>
      </c>
      <c r="M32" s="128">
        <f t="shared" si="33"/>
        <v>43410</v>
      </c>
      <c r="N32" s="128">
        <f t="shared" si="33"/>
        <v>43410</v>
      </c>
      <c r="O32" s="128">
        <f t="shared" si="33"/>
        <v>43410</v>
      </c>
      <c r="P32" s="128">
        <f t="shared" si="33"/>
        <v>43410</v>
      </c>
      <c r="Q32" s="128">
        <f t="shared" si="33"/>
        <v>43410</v>
      </c>
      <c r="R32" s="77">
        <f t="shared" si="33"/>
        <v>43410</v>
      </c>
    </row>
    <row r="33" spans="1:18" hidden="1" outlineLevel="1" x14ac:dyDescent="0.25">
      <c r="A33" s="36"/>
      <c r="B33" s="128" t="s">
        <v>148</v>
      </c>
      <c r="C33" s="128"/>
      <c r="D33" s="131">
        <f>IFERROR(D31/_xlfn.DAYS(D27,C29),0)</f>
        <v>81.25</v>
      </c>
      <c r="E33" s="131">
        <f t="shared" ref="E33:R33" si="34">IFERROR(E31/_xlfn.DAYS(E27,D29),0)</f>
        <v>0</v>
      </c>
      <c r="F33" s="131">
        <f t="shared" si="34"/>
        <v>0</v>
      </c>
      <c r="G33" s="131">
        <f t="shared" si="34"/>
        <v>0</v>
      </c>
      <c r="H33" s="131">
        <f t="shared" si="34"/>
        <v>0</v>
      </c>
      <c r="I33" s="131">
        <f t="shared" si="34"/>
        <v>0</v>
      </c>
      <c r="J33" s="131">
        <f t="shared" si="34"/>
        <v>0</v>
      </c>
      <c r="K33" s="131">
        <f t="shared" si="34"/>
        <v>0</v>
      </c>
      <c r="L33" s="131">
        <f t="shared" si="34"/>
        <v>0</v>
      </c>
      <c r="M33" s="131">
        <f t="shared" si="34"/>
        <v>0</v>
      </c>
      <c r="N33" s="131">
        <f t="shared" si="34"/>
        <v>0</v>
      </c>
      <c r="O33" s="131">
        <f t="shared" si="34"/>
        <v>0</v>
      </c>
      <c r="P33" s="131">
        <f t="shared" si="34"/>
        <v>0</v>
      </c>
      <c r="Q33" s="131">
        <f t="shared" si="34"/>
        <v>0</v>
      </c>
      <c r="R33" s="132">
        <f t="shared" si="34"/>
        <v>0</v>
      </c>
    </row>
    <row r="34" spans="1:18" ht="15.75" hidden="1" outlineLevel="1" thickBot="1" x14ac:dyDescent="0.3">
      <c r="A34" s="40"/>
      <c r="B34" s="133" t="s">
        <v>150</v>
      </c>
      <c r="C34" s="133">
        <f>C31/1000</f>
        <v>1</v>
      </c>
      <c r="D34" s="133">
        <f>SUM($C$13:D31)/1000</f>
        <v>371.09540555000001</v>
      </c>
      <c r="E34" s="133">
        <f>SUM($C$13:E31)/1000</f>
        <v>458.14772339999996</v>
      </c>
      <c r="F34" s="133">
        <f>SUM($C$13:F31)/1000</f>
        <v>545.24345355000003</v>
      </c>
      <c r="G34" s="133">
        <f>SUM($C$13:G31)/1000</f>
        <v>632.38259599999992</v>
      </c>
      <c r="H34" s="133">
        <f>SUM($C$13:H31)/1000</f>
        <v>719.56515074999993</v>
      </c>
      <c r="I34" s="133">
        <f>SUM($C$13:I31)/1000</f>
        <v>806.79111779999994</v>
      </c>
      <c r="J34" s="133">
        <f>SUM($C$13:J31)/1000</f>
        <v>894.06049714999983</v>
      </c>
      <c r="K34" s="133">
        <f>SUM($C$13:K31)/1000</f>
        <v>981.37328879999984</v>
      </c>
      <c r="L34" s="133">
        <f>SUM($C$13:L31)/1000</f>
        <v>1068.7294927499997</v>
      </c>
      <c r="M34" s="133">
        <f>SUM($C$13:M31)/1000</f>
        <v>1156.1291089999997</v>
      </c>
      <c r="N34" s="133">
        <f>SUM($C$13:N31)/1000</f>
        <v>1243.5721375499995</v>
      </c>
      <c r="O34" s="133">
        <f>SUM($C$13:O31)/1000</f>
        <v>1331.0585784</v>
      </c>
      <c r="P34" s="133">
        <f>SUM($C$13:P31)/1000</f>
        <v>1418.5884315499998</v>
      </c>
      <c r="Q34" s="133">
        <f>SUM($C$13:Q31)/1000</f>
        <v>1506.1616970000007</v>
      </c>
      <c r="R34" s="78">
        <f>SUM($C$13:R31)/1000</f>
        <v>1593.7783747500009</v>
      </c>
    </row>
    <row r="35" spans="1:18" ht="15.75" collapsed="1" thickBot="1" x14ac:dyDescent="0.3"/>
    <row r="36" spans="1:18" ht="15.75" thickBot="1" x14ac:dyDescent="0.3">
      <c r="A36" s="134" t="s">
        <v>167</v>
      </c>
      <c r="B36" s="125" t="s">
        <v>142</v>
      </c>
      <c r="C36" s="126">
        <v>43392</v>
      </c>
      <c r="D36" s="126">
        <v>43409</v>
      </c>
      <c r="E36" s="126"/>
      <c r="F36" s="126"/>
      <c r="G36" s="126"/>
      <c r="H36" s="126"/>
      <c r="I36" s="126"/>
      <c r="J36" s="126"/>
      <c r="K36" s="126"/>
      <c r="L36" s="126"/>
      <c r="M36" s="126"/>
      <c r="N36" s="126"/>
      <c r="O36" s="126"/>
      <c r="P36" s="126"/>
      <c r="Q36" s="126"/>
      <c r="R36" s="127"/>
    </row>
    <row r="37" spans="1:18" hidden="1" outlineLevel="1" x14ac:dyDescent="0.25">
      <c r="A37" s="36"/>
      <c r="B37" s="128" t="s">
        <v>143</v>
      </c>
      <c r="C37" s="121">
        <v>2500</v>
      </c>
      <c r="D37" s="121">
        <v>2800</v>
      </c>
      <c r="E37" s="121"/>
      <c r="F37" s="121"/>
      <c r="G37" s="121"/>
      <c r="H37" s="121"/>
      <c r="I37" s="121"/>
      <c r="J37" s="121"/>
      <c r="K37" s="121"/>
      <c r="L37" s="121"/>
      <c r="M37" s="121"/>
      <c r="N37" s="121"/>
      <c r="O37" s="121"/>
      <c r="P37" s="121"/>
      <c r="Q37" s="121"/>
      <c r="R37" s="129"/>
    </row>
    <row r="38" spans="1:18" hidden="1" outlineLevel="1" x14ac:dyDescent="0.25">
      <c r="A38" s="36"/>
      <c r="B38" s="128" t="s">
        <v>144</v>
      </c>
      <c r="C38" s="124">
        <v>43393</v>
      </c>
      <c r="D38" s="124">
        <v>43410</v>
      </c>
      <c r="E38" s="124"/>
      <c r="F38" s="124"/>
      <c r="G38" s="124"/>
      <c r="H38" s="124"/>
      <c r="I38" s="124"/>
      <c r="J38" s="124"/>
      <c r="K38" s="124"/>
      <c r="L38" s="124"/>
      <c r="M38" s="124"/>
      <c r="N38" s="124"/>
      <c r="O38" s="124"/>
      <c r="P38" s="124"/>
      <c r="Q38" s="124"/>
      <c r="R38" s="130"/>
    </row>
    <row r="39" spans="1:18" hidden="1" outlineLevel="1" x14ac:dyDescent="0.25">
      <c r="A39" s="36"/>
      <c r="B39" s="128" t="s">
        <v>145</v>
      </c>
      <c r="C39" s="121">
        <v>1500</v>
      </c>
      <c r="D39" s="121">
        <v>1500</v>
      </c>
      <c r="E39" s="121"/>
      <c r="F39" s="121"/>
      <c r="G39" s="121"/>
      <c r="H39" s="121"/>
      <c r="I39" s="121"/>
      <c r="J39" s="121"/>
      <c r="K39" s="121"/>
      <c r="L39" s="121"/>
      <c r="M39" s="121"/>
      <c r="N39" s="121"/>
      <c r="O39" s="121"/>
      <c r="P39" s="121"/>
      <c r="Q39" s="121"/>
      <c r="R39" s="129"/>
    </row>
    <row r="40" spans="1:18" hidden="1" outlineLevel="1" x14ac:dyDescent="0.25">
      <c r="A40" s="36"/>
      <c r="B40" s="128" t="s">
        <v>146</v>
      </c>
      <c r="C40" s="128">
        <f>C37-C39</f>
        <v>1000</v>
      </c>
      <c r="D40" s="128">
        <f>D37-D39</f>
        <v>1300</v>
      </c>
      <c r="E40" s="128">
        <f t="shared" ref="E40" si="35">E37-E39</f>
        <v>0</v>
      </c>
      <c r="F40" s="128">
        <f t="shared" ref="F40" si="36">F37-F39</f>
        <v>0</v>
      </c>
      <c r="G40" s="128">
        <f t="shared" ref="G40" si="37">G37-G39</f>
        <v>0</v>
      </c>
      <c r="H40" s="128">
        <f t="shared" ref="H40" si="38">H37-H39</f>
        <v>0</v>
      </c>
      <c r="I40" s="128">
        <f t="shared" ref="I40" si="39">I37-I39</f>
        <v>0</v>
      </c>
      <c r="J40" s="128">
        <f t="shared" ref="J40" si="40">J37-J39</f>
        <v>0</v>
      </c>
      <c r="K40" s="128">
        <f t="shared" ref="K40" si="41">K37-K39</f>
        <v>0</v>
      </c>
      <c r="L40" s="128">
        <f t="shared" ref="L40" si="42">L37-L39</f>
        <v>0</v>
      </c>
      <c r="M40" s="128">
        <f t="shared" ref="M40" si="43">M37-M39</f>
        <v>0</v>
      </c>
      <c r="N40" s="128">
        <f t="shared" ref="N40" si="44">N37-N39</f>
        <v>0</v>
      </c>
      <c r="O40" s="128">
        <f t="shared" ref="O40" si="45">O37-O39</f>
        <v>0</v>
      </c>
      <c r="P40" s="128">
        <f t="shared" ref="P40" si="46">P37-P39</f>
        <v>0</v>
      </c>
      <c r="Q40" s="128">
        <f t="shared" ref="Q40" si="47">Q37-Q39</f>
        <v>0</v>
      </c>
      <c r="R40" s="77">
        <f t="shared" ref="R40" si="48">R37-R39</f>
        <v>0</v>
      </c>
    </row>
    <row r="41" spans="1:18" hidden="1" outlineLevel="1" x14ac:dyDescent="0.25">
      <c r="A41" s="36"/>
      <c r="B41" s="128" t="s">
        <v>147</v>
      </c>
      <c r="C41" s="128">
        <f t="shared" ref="C41:R41" si="49">_xlfn.DAYS($B$4,C38)</f>
        <v>17</v>
      </c>
      <c r="D41" s="128">
        <f t="shared" si="49"/>
        <v>0</v>
      </c>
      <c r="E41" s="128">
        <f t="shared" si="49"/>
        <v>43410</v>
      </c>
      <c r="F41" s="128">
        <f t="shared" si="49"/>
        <v>43410</v>
      </c>
      <c r="G41" s="128">
        <f t="shared" si="49"/>
        <v>43410</v>
      </c>
      <c r="H41" s="128">
        <f t="shared" si="49"/>
        <v>43410</v>
      </c>
      <c r="I41" s="128">
        <f t="shared" si="49"/>
        <v>43410</v>
      </c>
      <c r="J41" s="128">
        <f t="shared" si="49"/>
        <v>43410</v>
      </c>
      <c r="K41" s="128">
        <f t="shared" si="49"/>
        <v>43410</v>
      </c>
      <c r="L41" s="128">
        <f t="shared" si="49"/>
        <v>43410</v>
      </c>
      <c r="M41" s="128">
        <f t="shared" si="49"/>
        <v>43410</v>
      </c>
      <c r="N41" s="128">
        <f t="shared" si="49"/>
        <v>43410</v>
      </c>
      <c r="O41" s="128">
        <f t="shared" si="49"/>
        <v>43410</v>
      </c>
      <c r="P41" s="128">
        <f t="shared" si="49"/>
        <v>43410</v>
      </c>
      <c r="Q41" s="128">
        <f t="shared" si="49"/>
        <v>43410</v>
      </c>
      <c r="R41" s="77">
        <f t="shared" si="49"/>
        <v>43410</v>
      </c>
    </row>
    <row r="42" spans="1:18" hidden="1" outlineLevel="1" x14ac:dyDescent="0.25">
      <c r="A42" s="36"/>
      <c r="B42" s="128" t="s">
        <v>148</v>
      </c>
      <c r="C42" s="128"/>
      <c r="D42" s="131">
        <f>IFERROR(D40/_xlfn.DAYS(D36,C38),0)</f>
        <v>81.25</v>
      </c>
      <c r="E42" s="131">
        <f t="shared" ref="E42:R42" si="50">IFERROR(E40/_xlfn.DAYS(E36,D38),0)</f>
        <v>0</v>
      </c>
      <c r="F42" s="131">
        <f t="shared" si="50"/>
        <v>0</v>
      </c>
      <c r="G42" s="131">
        <f t="shared" si="50"/>
        <v>0</v>
      </c>
      <c r="H42" s="131">
        <f t="shared" si="50"/>
        <v>0</v>
      </c>
      <c r="I42" s="131">
        <f t="shared" si="50"/>
        <v>0</v>
      </c>
      <c r="J42" s="131">
        <f t="shared" si="50"/>
        <v>0</v>
      </c>
      <c r="K42" s="131">
        <f t="shared" si="50"/>
        <v>0</v>
      </c>
      <c r="L42" s="131">
        <f t="shared" si="50"/>
        <v>0</v>
      </c>
      <c r="M42" s="131">
        <f t="shared" si="50"/>
        <v>0</v>
      </c>
      <c r="N42" s="131">
        <f t="shared" si="50"/>
        <v>0</v>
      </c>
      <c r="O42" s="131">
        <f t="shared" si="50"/>
        <v>0</v>
      </c>
      <c r="P42" s="131">
        <f t="shared" si="50"/>
        <v>0</v>
      </c>
      <c r="Q42" s="131">
        <f t="shared" si="50"/>
        <v>0</v>
      </c>
      <c r="R42" s="132">
        <f t="shared" si="50"/>
        <v>0</v>
      </c>
    </row>
    <row r="43" spans="1:18" ht="15.75" hidden="1" outlineLevel="1" thickBot="1" x14ac:dyDescent="0.3">
      <c r="A43" s="40"/>
      <c r="B43" s="133" t="s">
        <v>150</v>
      </c>
      <c r="C43" s="133">
        <f>C40/1000</f>
        <v>1</v>
      </c>
      <c r="D43" s="133">
        <f>SUM($C$13:D40)/1000</f>
        <v>555.76975095554997</v>
      </c>
      <c r="E43" s="133">
        <f>SUM($C$13:E40)/1000</f>
        <v>686.69021652894992</v>
      </c>
      <c r="F43" s="133">
        <f>SUM($C$13:F40)/1000</f>
        <v>817.74119013250004</v>
      </c>
      <c r="G43" s="133">
        <f>SUM($C$13:G40)/1000</f>
        <v>948.92271517849997</v>
      </c>
      <c r="H43" s="133">
        <f>SUM($C$13:H40)/1000</f>
        <v>1080.2348350792499</v>
      </c>
      <c r="I43" s="133">
        <f>SUM($C$13:I40)/1000</f>
        <v>1211.67759324705</v>
      </c>
      <c r="J43" s="133">
        <f>SUM($C$13:J40)/1000</f>
        <v>1343.2510330941998</v>
      </c>
      <c r="K43" s="133">
        <f>SUM($C$13:K40)/1000</f>
        <v>1474.955198033</v>
      </c>
      <c r="L43" s="133">
        <f>SUM($C$13:L40)/1000</f>
        <v>1606.7901314757498</v>
      </c>
      <c r="M43" s="133">
        <f>SUM($C$13:M40)/1000</f>
        <v>1738.7558768347499</v>
      </c>
      <c r="N43" s="133">
        <f>SUM($C$13:N40)/1000</f>
        <v>1870.8524775222998</v>
      </c>
      <c r="O43" s="133">
        <f>SUM($C$13:O40)/1000</f>
        <v>2003.0799769507003</v>
      </c>
      <c r="P43" s="133">
        <f>SUM($C$13:P40)/1000</f>
        <v>2135.4384185322501</v>
      </c>
      <c r="Q43" s="133">
        <f>SUM($C$13:Q40)/1000</f>
        <v>2267.9278456792504</v>
      </c>
      <c r="R43" s="78">
        <f>SUM($C$13:R40)/1000</f>
        <v>2400.5483018040009</v>
      </c>
    </row>
    <row r="44" spans="1:18" ht="15.75" collapsed="1" thickBot="1" x14ac:dyDescent="0.3"/>
    <row r="45" spans="1:18" ht="15.75" thickBot="1" x14ac:dyDescent="0.3">
      <c r="A45" s="134" t="s">
        <v>167</v>
      </c>
      <c r="B45" s="125" t="s">
        <v>142</v>
      </c>
      <c r="C45" s="126">
        <v>43392</v>
      </c>
      <c r="D45" s="126">
        <v>43409</v>
      </c>
      <c r="E45" s="126"/>
      <c r="F45" s="126"/>
      <c r="G45" s="126"/>
      <c r="H45" s="126"/>
      <c r="I45" s="126"/>
      <c r="J45" s="126"/>
      <c r="K45" s="126"/>
      <c r="L45" s="126"/>
      <c r="M45" s="126"/>
      <c r="N45" s="126"/>
      <c r="O45" s="126"/>
      <c r="P45" s="126"/>
      <c r="Q45" s="126"/>
      <c r="R45" s="127"/>
    </row>
    <row r="46" spans="1:18" hidden="1" outlineLevel="1" x14ac:dyDescent="0.25">
      <c r="A46" s="36"/>
      <c r="B46" s="128" t="s">
        <v>143</v>
      </c>
      <c r="C46" s="121">
        <v>2500</v>
      </c>
      <c r="D46" s="121">
        <v>2800</v>
      </c>
      <c r="E46" s="121"/>
      <c r="F46" s="121"/>
      <c r="G46" s="121"/>
      <c r="H46" s="121"/>
      <c r="I46" s="121"/>
      <c r="J46" s="121"/>
      <c r="K46" s="121"/>
      <c r="L46" s="121"/>
      <c r="M46" s="121"/>
      <c r="N46" s="121"/>
      <c r="O46" s="121"/>
      <c r="P46" s="121"/>
      <c r="Q46" s="121"/>
      <c r="R46" s="129"/>
    </row>
    <row r="47" spans="1:18" hidden="1" outlineLevel="1" x14ac:dyDescent="0.25">
      <c r="A47" s="36"/>
      <c r="B47" s="128" t="s">
        <v>144</v>
      </c>
      <c r="C47" s="124">
        <v>43393</v>
      </c>
      <c r="D47" s="124">
        <v>43410</v>
      </c>
      <c r="E47" s="124"/>
      <c r="F47" s="124"/>
      <c r="G47" s="124"/>
      <c r="H47" s="124"/>
      <c r="I47" s="124"/>
      <c r="J47" s="124"/>
      <c r="K47" s="124"/>
      <c r="L47" s="124"/>
      <c r="M47" s="124"/>
      <c r="N47" s="124"/>
      <c r="O47" s="124"/>
      <c r="P47" s="124"/>
      <c r="Q47" s="124"/>
      <c r="R47" s="130"/>
    </row>
    <row r="48" spans="1:18" hidden="1" outlineLevel="1" x14ac:dyDescent="0.25">
      <c r="A48" s="36"/>
      <c r="B48" s="128" t="s">
        <v>145</v>
      </c>
      <c r="C48" s="121">
        <v>1500</v>
      </c>
      <c r="D48" s="121">
        <v>1500</v>
      </c>
      <c r="E48" s="121"/>
      <c r="F48" s="121"/>
      <c r="G48" s="121"/>
      <c r="H48" s="121"/>
      <c r="I48" s="121"/>
      <c r="J48" s="121"/>
      <c r="K48" s="121"/>
      <c r="L48" s="121"/>
      <c r="M48" s="121"/>
      <c r="N48" s="121"/>
      <c r="O48" s="121"/>
      <c r="P48" s="121"/>
      <c r="Q48" s="121"/>
      <c r="R48" s="129"/>
    </row>
    <row r="49" spans="1:18" hidden="1" outlineLevel="1" x14ac:dyDescent="0.25">
      <c r="A49" s="36"/>
      <c r="B49" s="128" t="s">
        <v>146</v>
      </c>
      <c r="C49" s="128">
        <f>C46-C48</f>
        <v>1000</v>
      </c>
      <c r="D49" s="128">
        <f>D46-D48</f>
        <v>1300</v>
      </c>
      <c r="E49" s="128">
        <f t="shared" ref="E49" si="51">E46-E48</f>
        <v>0</v>
      </c>
      <c r="F49" s="128">
        <f t="shared" ref="F49" si="52">F46-F48</f>
        <v>0</v>
      </c>
      <c r="G49" s="128">
        <f t="shared" ref="G49" si="53">G46-G48</f>
        <v>0</v>
      </c>
      <c r="H49" s="128">
        <f t="shared" ref="H49" si="54">H46-H48</f>
        <v>0</v>
      </c>
      <c r="I49" s="128">
        <f t="shared" ref="I49" si="55">I46-I48</f>
        <v>0</v>
      </c>
      <c r="J49" s="128">
        <f t="shared" ref="J49" si="56">J46-J48</f>
        <v>0</v>
      </c>
      <c r="K49" s="128">
        <f t="shared" ref="K49" si="57">K46-K48</f>
        <v>0</v>
      </c>
      <c r="L49" s="128">
        <f t="shared" ref="L49" si="58">L46-L48</f>
        <v>0</v>
      </c>
      <c r="M49" s="128">
        <f t="shared" ref="M49" si="59">M46-M48</f>
        <v>0</v>
      </c>
      <c r="N49" s="128">
        <f t="shared" ref="N49" si="60">N46-N48</f>
        <v>0</v>
      </c>
      <c r="O49" s="128">
        <f t="shared" ref="O49" si="61">O46-O48</f>
        <v>0</v>
      </c>
      <c r="P49" s="128">
        <f t="shared" ref="P49" si="62">P46-P48</f>
        <v>0</v>
      </c>
      <c r="Q49" s="128">
        <f t="shared" ref="Q49" si="63">Q46-Q48</f>
        <v>0</v>
      </c>
      <c r="R49" s="77">
        <f t="shared" ref="R49" si="64">R46-R48</f>
        <v>0</v>
      </c>
    </row>
    <row r="50" spans="1:18" hidden="1" outlineLevel="1" x14ac:dyDescent="0.25">
      <c r="A50" s="36"/>
      <c r="B50" s="128" t="s">
        <v>147</v>
      </c>
      <c r="C50" s="128">
        <f t="shared" ref="C50:R50" si="65">_xlfn.DAYS($B$4,C47)</f>
        <v>17</v>
      </c>
      <c r="D50" s="128">
        <f t="shared" si="65"/>
        <v>0</v>
      </c>
      <c r="E50" s="128">
        <f t="shared" si="65"/>
        <v>43410</v>
      </c>
      <c r="F50" s="128">
        <f t="shared" si="65"/>
        <v>43410</v>
      </c>
      <c r="G50" s="128">
        <f t="shared" si="65"/>
        <v>43410</v>
      </c>
      <c r="H50" s="128">
        <f t="shared" si="65"/>
        <v>43410</v>
      </c>
      <c r="I50" s="128">
        <f t="shared" si="65"/>
        <v>43410</v>
      </c>
      <c r="J50" s="128">
        <f t="shared" si="65"/>
        <v>43410</v>
      </c>
      <c r="K50" s="128">
        <f t="shared" si="65"/>
        <v>43410</v>
      </c>
      <c r="L50" s="128">
        <f t="shared" si="65"/>
        <v>43410</v>
      </c>
      <c r="M50" s="128">
        <f t="shared" si="65"/>
        <v>43410</v>
      </c>
      <c r="N50" s="128">
        <f t="shared" si="65"/>
        <v>43410</v>
      </c>
      <c r="O50" s="128">
        <f t="shared" si="65"/>
        <v>43410</v>
      </c>
      <c r="P50" s="128">
        <f t="shared" si="65"/>
        <v>43410</v>
      </c>
      <c r="Q50" s="128">
        <f t="shared" si="65"/>
        <v>43410</v>
      </c>
      <c r="R50" s="77">
        <f t="shared" si="65"/>
        <v>43410</v>
      </c>
    </row>
    <row r="51" spans="1:18" hidden="1" outlineLevel="1" x14ac:dyDescent="0.25">
      <c r="A51" s="36"/>
      <c r="B51" s="128" t="s">
        <v>148</v>
      </c>
      <c r="C51" s="128"/>
      <c r="D51" s="131">
        <f>IFERROR(D49/_xlfn.DAYS(D45,C47),0)</f>
        <v>81.25</v>
      </c>
      <c r="E51" s="131">
        <f t="shared" ref="E51:R51" si="66">IFERROR(E49/_xlfn.DAYS(E45,D47),0)</f>
        <v>0</v>
      </c>
      <c r="F51" s="131">
        <f t="shared" si="66"/>
        <v>0</v>
      </c>
      <c r="G51" s="131">
        <f t="shared" si="66"/>
        <v>0</v>
      </c>
      <c r="H51" s="131">
        <f t="shared" si="66"/>
        <v>0</v>
      </c>
      <c r="I51" s="131">
        <f t="shared" si="66"/>
        <v>0</v>
      </c>
      <c r="J51" s="131">
        <f t="shared" si="66"/>
        <v>0</v>
      </c>
      <c r="K51" s="131">
        <f t="shared" si="66"/>
        <v>0</v>
      </c>
      <c r="L51" s="131">
        <f t="shared" si="66"/>
        <v>0</v>
      </c>
      <c r="M51" s="131">
        <f t="shared" si="66"/>
        <v>0</v>
      </c>
      <c r="N51" s="131">
        <f t="shared" si="66"/>
        <v>0</v>
      </c>
      <c r="O51" s="131">
        <f t="shared" si="66"/>
        <v>0</v>
      </c>
      <c r="P51" s="131">
        <f t="shared" si="66"/>
        <v>0</v>
      </c>
      <c r="Q51" s="131">
        <f t="shared" si="66"/>
        <v>0</v>
      </c>
      <c r="R51" s="132">
        <f t="shared" si="66"/>
        <v>0</v>
      </c>
    </row>
    <row r="52" spans="1:18" ht="15.75" hidden="1" outlineLevel="1" thickBot="1" x14ac:dyDescent="0.3">
      <c r="A52" s="40"/>
      <c r="B52" s="133" t="s">
        <v>150</v>
      </c>
      <c r="C52" s="133">
        <f>C49/1000</f>
        <v>1</v>
      </c>
      <c r="D52" s="133">
        <f>SUM($C$13:D49)/1000</f>
        <v>740.62877070650552</v>
      </c>
      <c r="E52" s="133">
        <f>SUM($C$13:E49)/1000</f>
        <v>915.64592649643441</v>
      </c>
      <c r="F52" s="133">
        <f>SUM($C$13:F49)/1000</f>
        <v>1090.9246412901171</v>
      </c>
      <c r="G52" s="133">
        <f>SUM($C$13:G49)/1000</f>
        <v>1266.4650890512953</v>
      </c>
      <c r="H52" s="133">
        <f>SUM($C$13:H49)/1000</f>
        <v>1442.2674437871244</v>
      </c>
      <c r="I52" s="133">
        <f>SUM($C$13:I49)/1000</f>
        <v>1618.3318795481716</v>
      </c>
      <c r="J52" s="133">
        <f>SUM($C$13:J49)/1000</f>
        <v>1794.6585704284157</v>
      </c>
      <c r="K52" s="133">
        <f>SUM($C$13:K49)/1000</f>
        <v>1971.2476905652488</v>
      </c>
      <c r="L52" s="133">
        <f>SUM($C$13:L49)/1000</f>
        <v>2148.0994141394749</v>
      </c>
      <c r="M52" s="133">
        <f>SUM($C$13:M49)/1000</f>
        <v>2325.2139153753101</v>
      </c>
      <c r="N52" s="133">
        <f>SUM($C$13:N49)/1000</f>
        <v>2502.5913685403816</v>
      </c>
      <c r="O52" s="133">
        <f>SUM($C$13:O49)/1000</f>
        <v>2680.2319479457333</v>
      </c>
      <c r="P52" s="133">
        <f>SUM($C$13:P49)/1000</f>
        <v>2858.135827945815</v>
      </c>
      <c r="Q52" s="133">
        <f>SUM($C$13:Q49)/1000</f>
        <v>3036.3031829384945</v>
      </c>
      <c r="R52" s="78">
        <f>SUM($C$13:R49)/1000</f>
        <v>3214.7341873650489</v>
      </c>
    </row>
    <row r="53" spans="1:18" ht="15.75" collapsed="1" thickBot="1" x14ac:dyDescent="0.3"/>
    <row r="54" spans="1:18" ht="15.75" thickBot="1" x14ac:dyDescent="0.3">
      <c r="A54" s="134" t="s">
        <v>167</v>
      </c>
      <c r="B54" s="125" t="s">
        <v>142</v>
      </c>
      <c r="C54" s="126">
        <v>43392</v>
      </c>
      <c r="D54" s="126">
        <v>43409</v>
      </c>
      <c r="E54" s="126"/>
      <c r="F54" s="126"/>
      <c r="G54" s="126"/>
      <c r="H54" s="126"/>
      <c r="I54" s="126"/>
      <c r="J54" s="126"/>
      <c r="K54" s="126"/>
      <c r="L54" s="126"/>
      <c r="M54" s="126"/>
      <c r="N54" s="126"/>
      <c r="O54" s="126"/>
      <c r="P54" s="126"/>
      <c r="Q54" s="126"/>
      <c r="R54" s="127"/>
    </row>
    <row r="55" spans="1:18" hidden="1" outlineLevel="1" x14ac:dyDescent="0.25">
      <c r="A55" s="36"/>
      <c r="B55" s="128" t="s">
        <v>143</v>
      </c>
      <c r="C55" s="121">
        <v>2500</v>
      </c>
      <c r="D55" s="121">
        <v>2800</v>
      </c>
      <c r="E55" s="121"/>
      <c r="F55" s="121"/>
      <c r="G55" s="121"/>
      <c r="H55" s="121"/>
      <c r="I55" s="121"/>
      <c r="J55" s="121"/>
      <c r="K55" s="121"/>
      <c r="L55" s="121"/>
      <c r="M55" s="121"/>
      <c r="N55" s="121"/>
      <c r="O55" s="121"/>
      <c r="P55" s="121"/>
      <c r="Q55" s="121"/>
      <c r="R55" s="129"/>
    </row>
    <row r="56" spans="1:18" hidden="1" outlineLevel="1" x14ac:dyDescent="0.25">
      <c r="A56" s="36"/>
      <c r="B56" s="128" t="s">
        <v>144</v>
      </c>
      <c r="C56" s="124">
        <v>43393</v>
      </c>
      <c r="D56" s="124">
        <v>43410</v>
      </c>
      <c r="E56" s="124"/>
      <c r="F56" s="124"/>
      <c r="G56" s="124"/>
      <c r="H56" s="124"/>
      <c r="I56" s="124"/>
      <c r="J56" s="124"/>
      <c r="K56" s="124"/>
      <c r="L56" s="124"/>
      <c r="M56" s="124"/>
      <c r="N56" s="124"/>
      <c r="O56" s="124"/>
      <c r="P56" s="124"/>
      <c r="Q56" s="124"/>
      <c r="R56" s="130"/>
    </row>
    <row r="57" spans="1:18" hidden="1" outlineLevel="1" x14ac:dyDescent="0.25">
      <c r="A57" s="36"/>
      <c r="B57" s="128" t="s">
        <v>145</v>
      </c>
      <c r="C57" s="121">
        <v>1500</v>
      </c>
      <c r="D57" s="121">
        <v>1500</v>
      </c>
      <c r="E57" s="121"/>
      <c r="F57" s="121"/>
      <c r="G57" s="121"/>
      <c r="H57" s="121"/>
      <c r="I57" s="121"/>
      <c r="J57" s="121"/>
      <c r="K57" s="121"/>
      <c r="L57" s="121"/>
      <c r="M57" s="121"/>
      <c r="N57" s="121"/>
      <c r="O57" s="121"/>
      <c r="P57" s="121"/>
      <c r="Q57" s="121"/>
      <c r="R57" s="129"/>
    </row>
    <row r="58" spans="1:18" hidden="1" outlineLevel="1" x14ac:dyDescent="0.25">
      <c r="A58" s="36"/>
      <c r="B58" s="128" t="s">
        <v>146</v>
      </c>
      <c r="C58" s="128">
        <f>C55-C57</f>
        <v>1000</v>
      </c>
      <c r="D58" s="128">
        <f>D55-D57</f>
        <v>1300</v>
      </c>
      <c r="E58" s="128">
        <f t="shared" ref="E58" si="67">E55-E57</f>
        <v>0</v>
      </c>
      <c r="F58" s="128">
        <f t="shared" ref="F58" si="68">F55-F57</f>
        <v>0</v>
      </c>
      <c r="G58" s="128">
        <f t="shared" ref="G58" si="69">G55-G57</f>
        <v>0</v>
      </c>
      <c r="H58" s="128">
        <f t="shared" ref="H58" si="70">H55-H57</f>
        <v>0</v>
      </c>
      <c r="I58" s="128">
        <f t="shared" ref="I58" si="71">I55-I57</f>
        <v>0</v>
      </c>
      <c r="J58" s="128">
        <f t="shared" ref="J58" si="72">J55-J57</f>
        <v>0</v>
      </c>
      <c r="K58" s="128">
        <f t="shared" ref="K58" si="73">K55-K57</f>
        <v>0</v>
      </c>
      <c r="L58" s="128">
        <f t="shared" ref="L58" si="74">L55-L57</f>
        <v>0</v>
      </c>
      <c r="M58" s="128">
        <f t="shared" ref="M58" si="75">M55-M57</f>
        <v>0</v>
      </c>
      <c r="N58" s="128">
        <f t="shared" ref="N58" si="76">N55-N57</f>
        <v>0</v>
      </c>
      <c r="O58" s="128">
        <f t="shared" ref="O58" si="77">O55-O57</f>
        <v>0</v>
      </c>
      <c r="P58" s="128">
        <f t="shared" ref="P58" si="78">P55-P57</f>
        <v>0</v>
      </c>
      <c r="Q58" s="128">
        <f t="shared" ref="Q58" si="79">Q55-Q57</f>
        <v>0</v>
      </c>
      <c r="R58" s="77">
        <f t="shared" ref="R58" si="80">R55-R57</f>
        <v>0</v>
      </c>
    </row>
    <row r="59" spans="1:18" hidden="1" outlineLevel="1" x14ac:dyDescent="0.25">
      <c r="A59" s="36"/>
      <c r="B59" s="128" t="s">
        <v>147</v>
      </c>
      <c r="C59" s="128">
        <f t="shared" ref="C59:R59" si="81">_xlfn.DAYS($B$4,C56)</f>
        <v>17</v>
      </c>
      <c r="D59" s="128">
        <f t="shared" si="81"/>
        <v>0</v>
      </c>
      <c r="E59" s="128">
        <f t="shared" si="81"/>
        <v>43410</v>
      </c>
      <c r="F59" s="128">
        <f t="shared" si="81"/>
        <v>43410</v>
      </c>
      <c r="G59" s="128">
        <f t="shared" si="81"/>
        <v>43410</v>
      </c>
      <c r="H59" s="128">
        <f t="shared" si="81"/>
        <v>43410</v>
      </c>
      <c r="I59" s="128">
        <f t="shared" si="81"/>
        <v>43410</v>
      </c>
      <c r="J59" s="128">
        <f t="shared" si="81"/>
        <v>43410</v>
      </c>
      <c r="K59" s="128">
        <f t="shared" si="81"/>
        <v>43410</v>
      </c>
      <c r="L59" s="128">
        <f t="shared" si="81"/>
        <v>43410</v>
      </c>
      <c r="M59" s="128">
        <f t="shared" si="81"/>
        <v>43410</v>
      </c>
      <c r="N59" s="128">
        <f t="shared" si="81"/>
        <v>43410</v>
      </c>
      <c r="O59" s="128">
        <f t="shared" si="81"/>
        <v>43410</v>
      </c>
      <c r="P59" s="128">
        <f t="shared" si="81"/>
        <v>43410</v>
      </c>
      <c r="Q59" s="128">
        <f t="shared" si="81"/>
        <v>43410</v>
      </c>
      <c r="R59" s="77">
        <f t="shared" si="81"/>
        <v>43410</v>
      </c>
    </row>
    <row r="60" spans="1:18" hidden="1" outlineLevel="1" x14ac:dyDescent="0.25">
      <c r="A60" s="36"/>
      <c r="B60" s="128" t="s">
        <v>148</v>
      </c>
      <c r="C60" s="128"/>
      <c r="D60" s="131">
        <f>IFERROR(D58/_xlfn.DAYS(D54,C56),0)</f>
        <v>81.25</v>
      </c>
      <c r="E60" s="131">
        <f t="shared" ref="E60:R60" si="82">IFERROR(E58/_xlfn.DAYS(E54,D56),0)</f>
        <v>0</v>
      </c>
      <c r="F60" s="131">
        <f t="shared" si="82"/>
        <v>0</v>
      </c>
      <c r="G60" s="131">
        <f t="shared" si="82"/>
        <v>0</v>
      </c>
      <c r="H60" s="131">
        <f t="shared" si="82"/>
        <v>0</v>
      </c>
      <c r="I60" s="131">
        <f t="shared" si="82"/>
        <v>0</v>
      </c>
      <c r="J60" s="131">
        <f t="shared" si="82"/>
        <v>0</v>
      </c>
      <c r="K60" s="131">
        <f t="shared" si="82"/>
        <v>0</v>
      </c>
      <c r="L60" s="131">
        <f t="shared" si="82"/>
        <v>0</v>
      </c>
      <c r="M60" s="131">
        <f t="shared" si="82"/>
        <v>0</v>
      </c>
      <c r="N60" s="131">
        <f t="shared" si="82"/>
        <v>0</v>
      </c>
      <c r="O60" s="131">
        <f t="shared" si="82"/>
        <v>0</v>
      </c>
      <c r="P60" s="131">
        <f t="shared" si="82"/>
        <v>0</v>
      </c>
      <c r="Q60" s="131">
        <f t="shared" si="82"/>
        <v>0</v>
      </c>
      <c r="R60" s="132">
        <f t="shared" si="82"/>
        <v>0</v>
      </c>
    </row>
    <row r="61" spans="1:18" ht="15.75" hidden="1" outlineLevel="1" thickBot="1" x14ac:dyDescent="0.3">
      <c r="A61" s="40"/>
      <c r="B61" s="133" t="s">
        <v>150</v>
      </c>
      <c r="C61" s="133">
        <f>C58/1000</f>
        <v>1</v>
      </c>
      <c r="D61" s="133">
        <f>SUM($C$13:D58)/1000</f>
        <v>925.67264947721196</v>
      </c>
      <c r="E61" s="133">
        <f>SUM($C$13:E58)/1000</f>
        <v>1145.0154511936373</v>
      </c>
      <c r="F61" s="133">
        <f>SUM($C$13:F58)/1000</f>
        <v>1364.7950906286103</v>
      </c>
      <c r="G61" s="133">
        <f>SUM($C$13:G58)/1000</f>
        <v>1585.0120034788397</v>
      </c>
      <c r="H61" s="133">
        <f>SUM($C$13:H58)/1000</f>
        <v>1805.666625658456</v>
      </c>
      <c r="I61" s="133">
        <f>SUM($C$13:I58)/1000</f>
        <v>2026.7593932990512</v>
      </c>
      <c r="J61" s="133">
        <f>SUM($C$13:J58)/1000</f>
        <v>2248.2907427497234</v>
      </c>
      <c r="K61" s="133">
        <f>SUM($C$13:K58)/1000</f>
        <v>2470.2611105771234</v>
      </c>
      <c r="L61" s="133">
        <f>SUM($C$13:L58)/1000</f>
        <v>2692.6709335654887</v>
      </c>
      <c r="M61" s="133">
        <f>SUM($C$13:M58)/1000</f>
        <v>2915.5206487166993</v>
      </c>
      <c r="N61" s="133">
        <f>SUM($C$13:N58)/1000</f>
        <v>3138.810693250311</v>
      </c>
      <c r="O61" s="133">
        <f>SUM($C$13:O58)/1000</f>
        <v>3362.5415046036087</v>
      </c>
      <c r="P61" s="133">
        <f>SUM($C$13:P58)/1000</f>
        <v>3586.7135204316364</v>
      </c>
      <c r="Q61" s="133">
        <f>SUM($C$13:Q58)/1000</f>
        <v>3811.3271786072546</v>
      </c>
      <c r="R61" s="78">
        <f>SUM($C$13:R58)/1000</f>
        <v>4036.382917221174</v>
      </c>
    </row>
    <row r="62" spans="1:18" ht="15.75" collapsed="1" thickBot="1" x14ac:dyDescent="0.3"/>
    <row r="63" spans="1:18" ht="15.75" thickBot="1" x14ac:dyDescent="0.3">
      <c r="A63" s="134" t="s">
        <v>167</v>
      </c>
      <c r="B63" s="125" t="s">
        <v>142</v>
      </c>
      <c r="C63" s="126">
        <v>43392</v>
      </c>
      <c r="D63" s="126">
        <v>43409</v>
      </c>
      <c r="E63" s="126"/>
      <c r="F63" s="126"/>
      <c r="G63" s="126"/>
      <c r="H63" s="126"/>
      <c r="I63" s="126"/>
      <c r="J63" s="126"/>
      <c r="K63" s="126"/>
      <c r="L63" s="126"/>
      <c r="M63" s="126"/>
      <c r="N63" s="126"/>
      <c r="O63" s="126"/>
      <c r="P63" s="126"/>
      <c r="Q63" s="126"/>
      <c r="R63" s="127"/>
    </row>
    <row r="64" spans="1:18" hidden="1" outlineLevel="1" x14ac:dyDescent="0.25">
      <c r="A64" s="36"/>
      <c r="B64" s="128" t="s">
        <v>143</v>
      </c>
      <c r="C64" s="121">
        <v>2500</v>
      </c>
      <c r="D64" s="121">
        <v>2800</v>
      </c>
      <c r="E64" s="121"/>
      <c r="F64" s="121"/>
      <c r="G64" s="121"/>
      <c r="H64" s="121"/>
      <c r="I64" s="121"/>
      <c r="J64" s="121"/>
      <c r="K64" s="121"/>
      <c r="L64" s="121"/>
      <c r="M64" s="121"/>
      <c r="N64" s="121"/>
      <c r="O64" s="121"/>
      <c r="P64" s="121"/>
      <c r="Q64" s="121"/>
      <c r="R64" s="129"/>
    </row>
    <row r="65" spans="1:18" hidden="1" outlineLevel="1" x14ac:dyDescent="0.25">
      <c r="A65" s="36"/>
      <c r="B65" s="128" t="s">
        <v>144</v>
      </c>
      <c r="C65" s="124">
        <v>43393</v>
      </c>
      <c r="D65" s="124">
        <v>43410</v>
      </c>
      <c r="E65" s="124"/>
      <c r="F65" s="124"/>
      <c r="G65" s="124"/>
      <c r="H65" s="124"/>
      <c r="I65" s="124"/>
      <c r="J65" s="124"/>
      <c r="K65" s="124"/>
      <c r="L65" s="124"/>
      <c r="M65" s="124"/>
      <c r="N65" s="124"/>
      <c r="O65" s="124"/>
      <c r="P65" s="124"/>
      <c r="Q65" s="124"/>
      <c r="R65" s="130"/>
    </row>
    <row r="66" spans="1:18" hidden="1" outlineLevel="1" x14ac:dyDescent="0.25">
      <c r="A66" s="36"/>
      <c r="B66" s="128" t="s">
        <v>145</v>
      </c>
      <c r="C66" s="121">
        <v>1500</v>
      </c>
      <c r="D66" s="121">
        <v>1500</v>
      </c>
      <c r="E66" s="121"/>
      <c r="F66" s="121"/>
      <c r="G66" s="121"/>
      <c r="H66" s="121"/>
      <c r="I66" s="121"/>
      <c r="J66" s="121"/>
      <c r="K66" s="121"/>
      <c r="L66" s="121"/>
      <c r="M66" s="121"/>
      <c r="N66" s="121"/>
      <c r="O66" s="121"/>
      <c r="P66" s="121"/>
      <c r="Q66" s="121"/>
      <c r="R66" s="129"/>
    </row>
    <row r="67" spans="1:18" hidden="1" outlineLevel="1" x14ac:dyDescent="0.25">
      <c r="A67" s="36"/>
      <c r="B67" s="128" t="s">
        <v>146</v>
      </c>
      <c r="C67" s="128">
        <f>C64-C66</f>
        <v>1000</v>
      </c>
      <c r="D67" s="128">
        <f>D64-D66</f>
        <v>1300</v>
      </c>
      <c r="E67" s="128">
        <f t="shared" ref="E67" si="83">E64-E66</f>
        <v>0</v>
      </c>
      <c r="F67" s="128">
        <f t="shared" ref="F67" si="84">F64-F66</f>
        <v>0</v>
      </c>
      <c r="G67" s="128">
        <f t="shared" ref="G67" si="85">G64-G66</f>
        <v>0</v>
      </c>
      <c r="H67" s="128">
        <f t="shared" ref="H67" si="86">H64-H66</f>
        <v>0</v>
      </c>
      <c r="I67" s="128">
        <f t="shared" ref="I67" si="87">I64-I66</f>
        <v>0</v>
      </c>
      <c r="J67" s="128">
        <f t="shared" ref="J67" si="88">J64-J66</f>
        <v>0</v>
      </c>
      <c r="K67" s="128">
        <f t="shared" ref="K67" si="89">K64-K66</f>
        <v>0</v>
      </c>
      <c r="L67" s="128">
        <f t="shared" ref="L67" si="90">L64-L66</f>
        <v>0</v>
      </c>
      <c r="M67" s="128">
        <f t="shared" ref="M67" si="91">M64-M66</f>
        <v>0</v>
      </c>
      <c r="N67" s="128">
        <f t="shared" ref="N67" si="92">N64-N66</f>
        <v>0</v>
      </c>
      <c r="O67" s="128">
        <f t="shared" ref="O67" si="93">O64-O66</f>
        <v>0</v>
      </c>
      <c r="P67" s="128">
        <f t="shared" ref="P67" si="94">P64-P66</f>
        <v>0</v>
      </c>
      <c r="Q67" s="128">
        <f t="shared" ref="Q67" si="95">Q64-Q66</f>
        <v>0</v>
      </c>
      <c r="R67" s="77">
        <f t="shared" ref="R67" si="96">R64-R66</f>
        <v>0</v>
      </c>
    </row>
    <row r="68" spans="1:18" hidden="1" outlineLevel="1" x14ac:dyDescent="0.25">
      <c r="A68" s="36"/>
      <c r="B68" s="128" t="s">
        <v>147</v>
      </c>
      <c r="C68" s="128">
        <f t="shared" ref="C68:R68" si="97">_xlfn.DAYS($B$4,C65)</f>
        <v>17</v>
      </c>
      <c r="D68" s="128">
        <f t="shared" si="97"/>
        <v>0</v>
      </c>
      <c r="E68" s="128">
        <f t="shared" si="97"/>
        <v>43410</v>
      </c>
      <c r="F68" s="128">
        <f t="shared" si="97"/>
        <v>43410</v>
      </c>
      <c r="G68" s="128">
        <f t="shared" si="97"/>
        <v>43410</v>
      </c>
      <c r="H68" s="128">
        <f t="shared" si="97"/>
        <v>43410</v>
      </c>
      <c r="I68" s="128">
        <f t="shared" si="97"/>
        <v>43410</v>
      </c>
      <c r="J68" s="128">
        <f t="shared" si="97"/>
        <v>43410</v>
      </c>
      <c r="K68" s="128">
        <f t="shared" si="97"/>
        <v>43410</v>
      </c>
      <c r="L68" s="128">
        <f t="shared" si="97"/>
        <v>43410</v>
      </c>
      <c r="M68" s="128">
        <f t="shared" si="97"/>
        <v>43410</v>
      </c>
      <c r="N68" s="128">
        <f t="shared" si="97"/>
        <v>43410</v>
      </c>
      <c r="O68" s="128">
        <f t="shared" si="97"/>
        <v>43410</v>
      </c>
      <c r="P68" s="128">
        <f t="shared" si="97"/>
        <v>43410</v>
      </c>
      <c r="Q68" s="128">
        <f t="shared" si="97"/>
        <v>43410</v>
      </c>
      <c r="R68" s="77">
        <f t="shared" si="97"/>
        <v>43410</v>
      </c>
    </row>
    <row r="69" spans="1:18" hidden="1" outlineLevel="1" x14ac:dyDescent="0.25">
      <c r="A69" s="36"/>
      <c r="B69" s="128" t="s">
        <v>148</v>
      </c>
      <c r="C69" s="128"/>
      <c r="D69" s="131">
        <f>IFERROR(D67/_xlfn.DAYS(D63,C65),0)</f>
        <v>81.25</v>
      </c>
      <c r="E69" s="131">
        <f t="shared" ref="E69:R69" si="98">IFERROR(E67/_xlfn.DAYS(E63,D65),0)</f>
        <v>0</v>
      </c>
      <c r="F69" s="131">
        <f t="shared" si="98"/>
        <v>0</v>
      </c>
      <c r="G69" s="131">
        <f t="shared" si="98"/>
        <v>0</v>
      </c>
      <c r="H69" s="131">
        <f t="shared" si="98"/>
        <v>0</v>
      </c>
      <c r="I69" s="131">
        <f t="shared" si="98"/>
        <v>0</v>
      </c>
      <c r="J69" s="131">
        <f t="shared" si="98"/>
        <v>0</v>
      </c>
      <c r="K69" s="131">
        <f t="shared" si="98"/>
        <v>0</v>
      </c>
      <c r="L69" s="131">
        <f t="shared" si="98"/>
        <v>0</v>
      </c>
      <c r="M69" s="131">
        <f t="shared" si="98"/>
        <v>0</v>
      </c>
      <c r="N69" s="131">
        <f t="shared" si="98"/>
        <v>0</v>
      </c>
      <c r="O69" s="131">
        <f t="shared" si="98"/>
        <v>0</v>
      </c>
      <c r="P69" s="131">
        <f t="shared" si="98"/>
        <v>0</v>
      </c>
      <c r="Q69" s="131">
        <f t="shared" si="98"/>
        <v>0</v>
      </c>
      <c r="R69" s="132">
        <f t="shared" si="98"/>
        <v>0</v>
      </c>
    </row>
    <row r="70" spans="1:18" ht="15.75" hidden="1" outlineLevel="1" thickBot="1" x14ac:dyDescent="0.3">
      <c r="A70" s="40"/>
      <c r="B70" s="133" t="s">
        <v>150</v>
      </c>
      <c r="C70" s="133">
        <f>C67/1000</f>
        <v>1</v>
      </c>
      <c r="D70" s="133">
        <f>SUM($C$13:D67)/1000</f>
        <v>1110.9015721266894</v>
      </c>
      <c r="E70" s="133">
        <f>SUM($C$13:E67)/1000</f>
        <v>1374.799389294308</v>
      </c>
      <c r="F70" s="133">
        <f>SUM($C$13:F67)/1000</f>
        <v>1639.3538238199094</v>
      </c>
      <c r="G70" s="133">
        <f>SUM($C$13:G67)/1000</f>
        <v>1904.5657486736179</v>
      </c>
      <c r="H70" s="133">
        <f>SUM($C$13:H67)/1000</f>
        <v>2170.4360374788926</v>
      </c>
      <c r="I70" s="133">
        <f>SUM($C$13:I67)/1000</f>
        <v>2436.9655645127878</v>
      </c>
      <c r="J70" s="133">
        <f>SUM($C$13:J67)/1000</f>
        <v>2704.1552047062096</v>
      </c>
      <c r="K70" s="133">
        <f>SUM($C$13:K67)/1000</f>
        <v>2972.0058336441866</v>
      </c>
      <c r="L70" s="133">
        <f>SUM($C$13:L67)/1000</f>
        <v>3240.5183275661175</v>
      </c>
      <c r="M70" s="133">
        <f>SUM($C$13:M67)/1000</f>
        <v>3509.6935633660446</v>
      </c>
      <c r="N70" s="133">
        <f>SUM($C$13:N67)/1000</f>
        <v>3779.5324185929071</v>
      </c>
      <c r="O70" s="133">
        <f>SUM($C$13:O67)/1000</f>
        <v>4050.0357714508082</v>
      </c>
      <c r="P70" s="133">
        <f>SUM($C$13:P67)/1000</f>
        <v>4321.2045007992674</v>
      </c>
      <c r="Q70" s="133">
        <f>SUM($C$13:Q67)/1000</f>
        <v>4593.0394861534924</v>
      </c>
      <c r="R70" s="78">
        <f>SUM($C$13:R67)/1000</f>
        <v>4865.5416076846332</v>
      </c>
    </row>
    <row r="71" spans="1:18" ht="15.75" collapsed="1" thickBot="1" x14ac:dyDescent="0.3"/>
    <row r="72" spans="1:18" ht="15.75" thickBot="1" x14ac:dyDescent="0.3">
      <c r="A72" s="134" t="s">
        <v>167</v>
      </c>
      <c r="B72" s="125" t="s">
        <v>142</v>
      </c>
      <c r="C72" s="126">
        <v>43392</v>
      </c>
      <c r="D72" s="126">
        <v>43409</v>
      </c>
      <c r="E72" s="126"/>
      <c r="F72" s="126"/>
      <c r="G72" s="126"/>
      <c r="H72" s="126"/>
      <c r="I72" s="126"/>
      <c r="J72" s="126"/>
      <c r="K72" s="126"/>
      <c r="L72" s="126"/>
      <c r="M72" s="126"/>
      <c r="N72" s="126"/>
      <c r="O72" s="126"/>
      <c r="P72" s="126"/>
      <c r="Q72" s="126"/>
      <c r="R72" s="127"/>
    </row>
    <row r="73" spans="1:18" hidden="1" outlineLevel="1" x14ac:dyDescent="0.25">
      <c r="A73" s="36"/>
      <c r="B73" s="128" t="s">
        <v>143</v>
      </c>
      <c r="C73" s="121">
        <v>2500</v>
      </c>
      <c r="D73" s="121">
        <v>2800</v>
      </c>
      <c r="E73" s="121"/>
      <c r="F73" s="121"/>
      <c r="G73" s="121"/>
      <c r="H73" s="121"/>
      <c r="I73" s="121"/>
      <c r="J73" s="121"/>
      <c r="K73" s="121"/>
      <c r="L73" s="121"/>
      <c r="M73" s="121"/>
      <c r="N73" s="121"/>
      <c r="O73" s="121"/>
      <c r="P73" s="121"/>
      <c r="Q73" s="121"/>
      <c r="R73" s="129"/>
    </row>
    <row r="74" spans="1:18" hidden="1" outlineLevel="1" x14ac:dyDescent="0.25">
      <c r="A74" s="36"/>
      <c r="B74" s="128" t="s">
        <v>144</v>
      </c>
      <c r="C74" s="124">
        <v>43393</v>
      </c>
      <c r="D74" s="124">
        <v>43410</v>
      </c>
      <c r="E74" s="124"/>
      <c r="F74" s="124"/>
      <c r="G74" s="124"/>
      <c r="H74" s="124"/>
      <c r="I74" s="124"/>
      <c r="J74" s="124"/>
      <c r="K74" s="124"/>
      <c r="L74" s="124"/>
      <c r="M74" s="124"/>
      <c r="N74" s="124"/>
      <c r="O74" s="124"/>
      <c r="P74" s="124"/>
      <c r="Q74" s="124"/>
      <c r="R74" s="130"/>
    </row>
    <row r="75" spans="1:18" hidden="1" outlineLevel="1" x14ac:dyDescent="0.25">
      <c r="A75" s="36"/>
      <c r="B75" s="128" t="s">
        <v>145</v>
      </c>
      <c r="C75" s="121">
        <v>1500</v>
      </c>
      <c r="D75" s="121">
        <v>1500</v>
      </c>
      <c r="E75" s="121"/>
      <c r="F75" s="121"/>
      <c r="G75" s="121"/>
      <c r="H75" s="121"/>
      <c r="I75" s="121"/>
      <c r="J75" s="121"/>
      <c r="K75" s="121"/>
      <c r="L75" s="121"/>
      <c r="M75" s="121"/>
      <c r="N75" s="121"/>
      <c r="O75" s="121"/>
      <c r="P75" s="121"/>
      <c r="Q75" s="121"/>
      <c r="R75" s="129"/>
    </row>
    <row r="76" spans="1:18" hidden="1" outlineLevel="1" x14ac:dyDescent="0.25">
      <c r="A76" s="36"/>
      <c r="B76" s="128" t="s">
        <v>146</v>
      </c>
      <c r="C76" s="128">
        <f>C73-C75</f>
        <v>1000</v>
      </c>
      <c r="D76" s="128">
        <f>D73-D75</f>
        <v>1300</v>
      </c>
      <c r="E76" s="128">
        <f t="shared" ref="E76" si="99">E73-E75</f>
        <v>0</v>
      </c>
      <c r="F76" s="128">
        <f t="shared" ref="F76" si="100">F73-F75</f>
        <v>0</v>
      </c>
      <c r="G76" s="128">
        <f t="shared" ref="G76" si="101">G73-G75</f>
        <v>0</v>
      </c>
      <c r="H76" s="128">
        <f t="shared" ref="H76" si="102">H73-H75</f>
        <v>0</v>
      </c>
      <c r="I76" s="128">
        <f t="shared" ref="I76" si="103">I73-I75</f>
        <v>0</v>
      </c>
      <c r="J76" s="128">
        <f t="shared" ref="J76" si="104">J73-J75</f>
        <v>0</v>
      </c>
      <c r="K76" s="128">
        <f t="shared" ref="K76" si="105">K73-K75</f>
        <v>0</v>
      </c>
      <c r="L76" s="128">
        <f t="shared" ref="L76" si="106">L73-L75</f>
        <v>0</v>
      </c>
      <c r="M76" s="128">
        <f t="shared" ref="M76" si="107">M73-M75</f>
        <v>0</v>
      </c>
      <c r="N76" s="128">
        <f t="shared" ref="N76" si="108">N73-N75</f>
        <v>0</v>
      </c>
      <c r="O76" s="128">
        <f t="shared" ref="O76" si="109">O73-O75</f>
        <v>0</v>
      </c>
      <c r="P76" s="128">
        <f t="shared" ref="P76" si="110">P73-P75</f>
        <v>0</v>
      </c>
      <c r="Q76" s="128">
        <f t="shared" ref="Q76" si="111">Q73-Q75</f>
        <v>0</v>
      </c>
      <c r="R76" s="77">
        <f t="shared" ref="R76" si="112">R73-R75</f>
        <v>0</v>
      </c>
    </row>
    <row r="77" spans="1:18" hidden="1" outlineLevel="1" x14ac:dyDescent="0.25">
      <c r="A77" s="36"/>
      <c r="B77" s="128" t="s">
        <v>147</v>
      </c>
      <c r="C77" s="128">
        <f t="shared" ref="C77:R77" si="113">_xlfn.DAYS($B$4,C74)</f>
        <v>17</v>
      </c>
      <c r="D77" s="128">
        <f t="shared" si="113"/>
        <v>0</v>
      </c>
      <c r="E77" s="128">
        <f t="shared" si="113"/>
        <v>43410</v>
      </c>
      <c r="F77" s="128">
        <f t="shared" si="113"/>
        <v>43410</v>
      </c>
      <c r="G77" s="128">
        <f t="shared" si="113"/>
        <v>43410</v>
      </c>
      <c r="H77" s="128">
        <f t="shared" si="113"/>
        <v>43410</v>
      </c>
      <c r="I77" s="128">
        <f t="shared" si="113"/>
        <v>43410</v>
      </c>
      <c r="J77" s="128">
        <f t="shared" si="113"/>
        <v>43410</v>
      </c>
      <c r="K77" s="128">
        <f t="shared" si="113"/>
        <v>43410</v>
      </c>
      <c r="L77" s="128">
        <f t="shared" si="113"/>
        <v>43410</v>
      </c>
      <c r="M77" s="128">
        <f t="shared" si="113"/>
        <v>43410</v>
      </c>
      <c r="N77" s="128">
        <f t="shared" si="113"/>
        <v>43410</v>
      </c>
      <c r="O77" s="128">
        <f t="shared" si="113"/>
        <v>43410</v>
      </c>
      <c r="P77" s="128">
        <f t="shared" si="113"/>
        <v>43410</v>
      </c>
      <c r="Q77" s="128">
        <f t="shared" si="113"/>
        <v>43410</v>
      </c>
      <c r="R77" s="77">
        <f t="shared" si="113"/>
        <v>43410</v>
      </c>
    </row>
    <row r="78" spans="1:18" hidden="1" outlineLevel="1" x14ac:dyDescent="0.25">
      <c r="A78" s="36"/>
      <c r="B78" s="128" t="s">
        <v>148</v>
      </c>
      <c r="C78" s="128"/>
      <c r="D78" s="131">
        <f>IFERROR(D76/_xlfn.DAYS(D72,C74),0)</f>
        <v>81.25</v>
      </c>
      <c r="E78" s="131">
        <f t="shared" ref="E78:R78" si="114">IFERROR(E76/_xlfn.DAYS(E72,D74),0)</f>
        <v>0</v>
      </c>
      <c r="F78" s="131">
        <f t="shared" si="114"/>
        <v>0</v>
      </c>
      <c r="G78" s="131">
        <f t="shared" si="114"/>
        <v>0</v>
      </c>
      <c r="H78" s="131">
        <f t="shared" si="114"/>
        <v>0</v>
      </c>
      <c r="I78" s="131">
        <f t="shared" si="114"/>
        <v>0</v>
      </c>
      <c r="J78" s="131">
        <f t="shared" si="114"/>
        <v>0</v>
      </c>
      <c r="K78" s="131">
        <f t="shared" si="114"/>
        <v>0</v>
      </c>
      <c r="L78" s="131">
        <f t="shared" si="114"/>
        <v>0</v>
      </c>
      <c r="M78" s="131">
        <f t="shared" si="114"/>
        <v>0</v>
      </c>
      <c r="N78" s="131">
        <f t="shared" si="114"/>
        <v>0</v>
      </c>
      <c r="O78" s="131">
        <f t="shared" si="114"/>
        <v>0</v>
      </c>
      <c r="P78" s="131">
        <f t="shared" si="114"/>
        <v>0</v>
      </c>
      <c r="Q78" s="131">
        <f t="shared" si="114"/>
        <v>0</v>
      </c>
      <c r="R78" s="132">
        <f t="shared" si="114"/>
        <v>0</v>
      </c>
    </row>
    <row r="79" spans="1:18" ht="15.75" hidden="1" outlineLevel="1" thickBot="1" x14ac:dyDescent="0.3">
      <c r="A79" s="40"/>
      <c r="B79" s="133" t="s">
        <v>150</v>
      </c>
      <c r="C79" s="133">
        <f>C76/1000</f>
        <v>1</v>
      </c>
      <c r="D79" s="133">
        <f>SUM($C$13:D76)/1000</f>
        <v>1296.3157236988161</v>
      </c>
      <c r="E79" s="133">
        <f>SUM($C$13:E76)/1000</f>
        <v>1604.9983402557289</v>
      </c>
      <c r="F79" s="133">
        <f>SUM($C$13:F76)/1000</f>
        <v>1914.6021286051505</v>
      </c>
      <c r="G79" s="133">
        <f>SUM($C$13:G76)/1000</f>
        <v>2225.1286192075322</v>
      </c>
      <c r="H79" s="133">
        <f>SUM($C$13:H76)/1000</f>
        <v>2536.5793440502862</v>
      </c>
      <c r="I79" s="133">
        <f>SUM($C$13:I76)/1000</f>
        <v>2848.9558366486945</v>
      </c>
      <c r="J79" s="133">
        <f>SUM($C$13:J76)/1000</f>
        <v>3162.2596320468224</v>
      </c>
      <c r="K79" s="133">
        <f>SUM($C$13:K76)/1000</f>
        <v>3476.4922668184431</v>
      </c>
      <c r="L79" s="133">
        <f>SUM($C$13:L76)/1000</f>
        <v>3791.6552790679407</v>
      </c>
      <c r="M79" s="133">
        <f>SUM($C$13:M76)/1000</f>
        <v>4107.7502084312337</v>
      </c>
      <c r="N79" s="133">
        <f>SUM($C$13:N76)/1000</f>
        <v>4424.7785960766896</v>
      </c>
      <c r="O79" s="133">
        <f>SUM($C$13:O76)/1000</f>
        <v>4742.741984706041</v>
      </c>
      <c r="P79" s="133">
        <f>SUM($C$13:P76)/1000</f>
        <v>5061.6419185552995</v>
      </c>
      <c r="Q79" s="133">
        <f>SUM($C$13:Q76)/1000</f>
        <v>5381.4799433956778</v>
      </c>
      <c r="R79" s="78">
        <f>SUM($C$13:R76)/1000</f>
        <v>5702.2576065345029</v>
      </c>
    </row>
    <row r="80" spans="1:18" ht="15.75" collapsed="1" thickBot="1" x14ac:dyDescent="0.3"/>
    <row r="81" spans="1:18" ht="15.75" thickBot="1" x14ac:dyDescent="0.3">
      <c r="A81" s="134" t="s">
        <v>167</v>
      </c>
      <c r="B81" s="125" t="s">
        <v>142</v>
      </c>
      <c r="C81" s="126">
        <v>43392</v>
      </c>
      <c r="D81" s="126">
        <v>43409</v>
      </c>
      <c r="E81" s="126"/>
      <c r="F81" s="126"/>
      <c r="G81" s="126"/>
      <c r="H81" s="126"/>
      <c r="I81" s="126"/>
      <c r="J81" s="126"/>
      <c r="K81" s="126"/>
      <c r="L81" s="126"/>
      <c r="M81" s="126"/>
      <c r="N81" s="126"/>
      <c r="O81" s="126"/>
      <c r="P81" s="126"/>
      <c r="Q81" s="126"/>
      <c r="R81" s="127"/>
    </row>
    <row r="82" spans="1:18" hidden="1" outlineLevel="1" x14ac:dyDescent="0.25">
      <c r="A82" s="36"/>
      <c r="B82" s="128" t="s">
        <v>143</v>
      </c>
      <c r="C82" s="121">
        <v>2500</v>
      </c>
      <c r="D82" s="121">
        <v>2800</v>
      </c>
      <c r="E82" s="121"/>
      <c r="F82" s="121"/>
      <c r="G82" s="121"/>
      <c r="H82" s="121"/>
      <c r="I82" s="121"/>
      <c r="J82" s="121"/>
      <c r="K82" s="121"/>
      <c r="L82" s="121"/>
      <c r="M82" s="121"/>
      <c r="N82" s="121"/>
      <c r="O82" s="121"/>
      <c r="P82" s="121"/>
      <c r="Q82" s="121"/>
      <c r="R82" s="129"/>
    </row>
    <row r="83" spans="1:18" hidden="1" outlineLevel="1" x14ac:dyDescent="0.25">
      <c r="A83" s="36"/>
      <c r="B83" s="128" t="s">
        <v>144</v>
      </c>
      <c r="C83" s="124">
        <v>43393</v>
      </c>
      <c r="D83" s="124">
        <v>43410</v>
      </c>
      <c r="E83" s="124"/>
      <c r="F83" s="124"/>
      <c r="G83" s="124"/>
      <c r="H83" s="124"/>
      <c r="I83" s="124"/>
      <c r="J83" s="124"/>
      <c r="K83" s="124"/>
      <c r="L83" s="124"/>
      <c r="M83" s="124"/>
      <c r="N83" s="124"/>
      <c r="O83" s="124"/>
      <c r="P83" s="124"/>
      <c r="Q83" s="124"/>
      <c r="R83" s="130"/>
    </row>
    <row r="84" spans="1:18" hidden="1" outlineLevel="1" x14ac:dyDescent="0.25">
      <c r="A84" s="36"/>
      <c r="B84" s="128" t="s">
        <v>145</v>
      </c>
      <c r="C84" s="121">
        <v>1500</v>
      </c>
      <c r="D84" s="121">
        <v>1500</v>
      </c>
      <c r="E84" s="121"/>
      <c r="F84" s="121"/>
      <c r="G84" s="121"/>
      <c r="H84" s="121"/>
      <c r="I84" s="121"/>
      <c r="J84" s="121"/>
      <c r="K84" s="121"/>
      <c r="L84" s="121"/>
      <c r="M84" s="121"/>
      <c r="N84" s="121"/>
      <c r="O84" s="121"/>
      <c r="P84" s="121"/>
      <c r="Q84" s="121"/>
      <c r="R84" s="129"/>
    </row>
    <row r="85" spans="1:18" hidden="1" outlineLevel="1" x14ac:dyDescent="0.25">
      <c r="A85" s="36"/>
      <c r="B85" s="128" t="s">
        <v>146</v>
      </c>
      <c r="C85" s="128">
        <f>C82-C84</f>
        <v>1000</v>
      </c>
      <c r="D85" s="128">
        <f>D82-D84</f>
        <v>1300</v>
      </c>
      <c r="E85" s="128">
        <f t="shared" ref="E85" si="115">E82-E84</f>
        <v>0</v>
      </c>
      <c r="F85" s="128">
        <f t="shared" ref="F85" si="116">F82-F84</f>
        <v>0</v>
      </c>
      <c r="G85" s="128">
        <f t="shared" ref="G85" si="117">G82-G84</f>
        <v>0</v>
      </c>
      <c r="H85" s="128">
        <f t="shared" ref="H85" si="118">H82-H84</f>
        <v>0</v>
      </c>
      <c r="I85" s="128">
        <f t="shared" ref="I85" si="119">I82-I84</f>
        <v>0</v>
      </c>
      <c r="J85" s="128">
        <f t="shared" ref="J85" si="120">J82-J84</f>
        <v>0</v>
      </c>
      <c r="K85" s="128">
        <f t="shared" ref="K85" si="121">K82-K84</f>
        <v>0</v>
      </c>
      <c r="L85" s="128">
        <f t="shared" ref="L85" si="122">L82-L84</f>
        <v>0</v>
      </c>
      <c r="M85" s="128">
        <f t="shared" ref="M85" si="123">M82-M84</f>
        <v>0</v>
      </c>
      <c r="N85" s="128">
        <f t="shared" ref="N85" si="124">N82-N84</f>
        <v>0</v>
      </c>
      <c r="O85" s="128">
        <f t="shared" ref="O85" si="125">O82-O84</f>
        <v>0</v>
      </c>
      <c r="P85" s="128">
        <f t="shared" ref="P85" si="126">P82-P84</f>
        <v>0</v>
      </c>
      <c r="Q85" s="128">
        <f t="shared" ref="Q85" si="127">Q82-Q84</f>
        <v>0</v>
      </c>
      <c r="R85" s="77">
        <f t="shared" ref="R85" si="128">R82-R84</f>
        <v>0</v>
      </c>
    </row>
    <row r="86" spans="1:18" hidden="1" outlineLevel="1" x14ac:dyDescent="0.25">
      <c r="A86" s="36"/>
      <c r="B86" s="128" t="s">
        <v>147</v>
      </c>
      <c r="C86" s="128">
        <f t="shared" ref="C86:R86" si="129">_xlfn.DAYS($B$4,C83)</f>
        <v>17</v>
      </c>
      <c r="D86" s="128">
        <f t="shared" si="129"/>
        <v>0</v>
      </c>
      <c r="E86" s="128">
        <f t="shared" si="129"/>
        <v>43410</v>
      </c>
      <c r="F86" s="128">
        <f t="shared" si="129"/>
        <v>43410</v>
      </c>
      <c r="G86" s="128">
        <f t="shared" si="129"/>
        <v>43410</v>
      </c>
      <c r="H86" s="128">
        <f t="shared" si="129"/>
        <v>43410</v>
      </c>
      <c r="I86" s="128">
        <f t="shared" si="129"/>
        <v>43410</v>
      </c>
      <c r="J86" s="128">
        <f t="shared" si="129"/>
        <v>43410</v>
      </c>
      <c r="K86" s="128">
        <f t="shared" si="129"/>
        <v>43410</v>
      </c>
      <c r="L86" s="128">
        <f t="shared" si="129"/>
        <v>43410</v>
      </c>
      <c r="M86" s="128">
        <f t="shared" si="129"/>
        <v>43410</v>
      </c>
      <c r="N86" s="128">
        <f t="shared" si="129"/>
        <v>43410</v>
      </c>
      <c r="O86" s="128">
        <f t="shared" si="129"/>
        <v>43410</v>
      </c>
      <c r="P86" s="128">
        <f t="shared" si="129"/>
        <v>43410</v>
      </c>
      <c r="Q86" s="128">
        <f t="shared" si="129"/>
        <v>43410</v>
      </c>
      <c r="R86" s="77">
        <f t="shared" si="129"/>
        <v>43410</v>
      </c>
    </row>
    <row r="87" spans="1:18" hidden="1" outlineLevel="1" x14ac:dyDescent="0.25">
      <c r="A87" s="36"/>
      <c r="B87" s="128" t="s">
        <v>148</v>
      </c>
      <c r="C87" s="128"/>
      <c r="D87" s="131">
        <f>IFERROR(D85/_xlfn.DAYS(D81,C83),0)</f>
        <v>81.25</v>
      </c>
      <c r="E87" s="131">
        <f t="shared" ref="E87:R87" si="130">IFERROR(E85/_xlfn.DAYS(E81,D83),0)</f>
        <v>0</v>
      </c>
      <c r="F87" s="131">
        <f t="shared" si="130"/>
        <v>0</v>
      </c>
      <c r="G87" s="131">
        <f t="shared" si="130"/>
        <v>0</v>
      </c>
      <c r="H87" s="131">
        <f t="shared" si="130"/>
        <v>0</v>
      </c>
      <c r="I87" s="131">
        <f t="shared" si="130"/>
        <v>0</v>
      </c>
      <c r="J87" s="131">
        <f t="shared" si="130"/>
        <v>0</v>
      </c>
      <c r="K87" s="131">
        <f t="shared" si="130"/>
        <v>0</v>
      </c>
      <c r="L87" s="131">
        <f t="shared" si="130"/>
        <v>0</v>
      </c>
      <c r="M87" s="131">
        <f t="shared" si="130"/>
        <v>0</v>
      </c>
      <c r="N87" s="131">
        <f t="shared" si="130"/>
        <v>0</v>
      </c>
      <c r="O87" s="131">
        <f t="shared" si="130"/>
        <v>0</v>
      </c>
      <c r="P87" s="131">
        <f t="shared" si="130"/>
        <v>0</v>
      </c>
      <c r="Q87" s="131">
        <f t="shared" si="130"/>
        <v>0</v>
      </c>
      <c r="R87" s="132">
        <f t="shared" si="130"/>
        <v>0</v>
      </c>
    </row>
    <row r="88" spans="1:18" ht="15.75" hidden="1" outlineLevel="1" thickBot="1" x14ac:dyDescent="0.3">
      <c r="A88" s="40"/>
      <c r="B88" s="133" t="s">
        <v>150</v>
      </c>
      <c r="C88" s="133">
        <f>C85/1000</f>
        <v>1</v>
      </c>
      <c r="D88" s="133">
        <f>SUM($C$13:D85)/1000</f>
        <v>1481.9152894225149</v>
      </c>
      <c r="E88" s="133">
        <f>SUM($C$13:E85)/1000</f>
        <v>1835.6129043196836</v>
      </c>
      <c r="F88" s="133">
        <f>SUM($C$13:F85)/1000</f>
        <v>2190.5412947977102</v>
      </c>
      <c r="G88" s="133">
        <f>SUM($C$13:G85)/1000</f>
        <v>2546.702914019299</v>
      </c>
      <c r="H88" s="133">
        <f>SUM($C$13:H85)/1000</f>
        <v>2904.1002182061038</v>
      </c>
      <c r="I88" s="133">
        <f>SUM($C$13:I85)/1000</f>
        <v>3262.7356666411606</v>
      </c>
      <c r="J88" s="133">
        <f>SUM($C$13:J85)/1000</f>
        <v>3622.6117216713355</v>
      </c>
      <c r="K88" s="133">
        <f>SUM($C$13:K85)/1000</f>
        <v>3983.7308487097748</v>
      </c>
      <c r="L88" s="133">
        <f>SUM($C$13:L85)/1000</f>
        <v>4346.0955162383389</v>
      </c>
      <c r="M88" s="133">
        <f>SUM($C$13:M85)/1000</f>
        <v>4709.7081958100644</v>
      </c>
      <c r="N88" s="133">
        <f>SUM($C$13:N85)/1000</f>
        <v>5074.571362051598</v>
      </c>
      <c r="O88" s="133">
        <f>SUM($C$13:O85)/1000</f>
        <v>5440.6874926656556</v>
      </c>
      <c r="P88" s="133">
        <f>SUM($C$13:P85)/1000</f>
        <v>5808.0590684334693</v>
      </c>
      <c r="Q88" s="133">
        <f>SUM($C$13:Q85)/1000</f>
        <v>6176.6885732172432</v>
      </c>
      <c r="R88" s="78">
        <f>SUM($C$13:R85)/1000</f>
        <v>6546.5784939626019</v>
      </c>
    </row>
    <row r="89" spans="1:18" ht="15.75" collapsed="1" thickBot="1" x14ac:dyDescent="0.3"/>
    <row r="90" spans="1:18" ht="15.75" thickBot="1" x14ac:dyDescent="0.3">
      <c r="A90" s="134" t="s">
        <v>167</v>
      </c>
      <c r="B90" s="125" t="s">
        <v>142</v>
      </c>
      <c r="C90" s="126">
        <v>43392</v>
      </c>
      <c r="D90" s="126">
        <v>43409</v>
      </c>
      <c r="E90" s="126"/>
      <c r="F90" s="126"/>
      <c r="G90" s="126"/>
      <c r="H90" s="126"/>
      <c r="I90" s="126"/>
      <c r="J90" s="126"/>
      <c r="K90" s="126"/>
      <c r="L90" s="126"/>
      <c r="M90" s="126"/>
      <c r="N90" s="126"/>
      <c r="O90" s="126"/>
      <c r="P90" s="126"/>
      <c r="Q90" s="126"/>
      <c r="R90" s="127"/>
    </row>
    <row r="91" spans="1:18" hidden="1" outlineLevel="1" x14ac:dyDescent="0.25">
      <c r="A91" s="36"/>
      <c r="B91" s="128" t="s">
        <v>143</v>
      </c>
      <c r="C91" s="121">
        <v>2500</v>
      </c>
      <c r="D91" s="121">
        <v>2800</v>
      </c>
      <c r="E91" s="121"/>
      <c r="F91" s="121"/>
      <c r="G91" s="121"/>
      <c r="H91" s="121"/>
      <c r="I91" s="121"/>
      <c r="J91" s="121"/>
      <c r="K91" s="121"/>
      <c r="L91" s="121"/>
      <c r="M91" s="121"/>
      <c r="N91" s="121"/>
      <c r="O91" s="121"/>
      <c r="P91" s="121"/>
      <c r="Q91" s="121"/>
      <c r="R91" s="129"/>
    </row>
    <row r="92" spans="1:18" hidden="1" outlineLevel="1" x14ac:dyDescent="0.25">
      <c r="A92" s="36"/>
      <c r="B92" s="128" t="s">
        <v>144</v>
      </c>
      <c r="C92" s="124">
        <v>43393</v>
      </c>
      <c r="D92" s="124">
        <v>43410</v>
      </c>
      <c r="E92" s="124"/>
      <c r="F92" s="124"/>
      <c r="G92" s="124"/>
      <c r="H92" s="124"/>
      <c r="I92" s="124"/>
      <c r="J92" s="124"/>
      <c r="K92" s="124"/>
      <c r="L92" s="124"/>
      <c r="M92" s="124"/>
      <c r="N92" s="124"/>
      <c r="O92" s="124"/>
      <c r="P92" s="124"/>
      <c r="Q92" s="124"/>
      <c r="R92" s="130"/>
    </row>
    <row r="93" spans="1:18" hidden="1" outlineLevel="1" x14ac:dyDescent="0.25">
      <c r="A93" s="36"/>
      <c r="B93" s="128" t="s">
        <v>145</v>
      </c>
      <c r="C93" s="121">
        <v>1500</v>
      </c>
      <c r="D93" s="121">
        <v>1500</v>
      </c>
      <c r="E93" s="121"/>
      <c r="F93" s="121"/>
      <c r="G93" s="121"/>
      <c r="H93" s="121"/>
      <c r="I93" s="121"/>
      <c r="J93" s="121"/>
      <c r="K93" s="121"/>
      <c r="L93" s="121"/>
      <c r="M93" s="121"/>
      <c r="N93" s="121"/>
      <c r="O93" s="121"/>
      <c r="P93" s="121"/>
      <c r="Q93" s="121"/>
      <c r="R93" s="129"/>
    </row>
    <row r="94" spans="1:18" hidden="1" outlineLevel="1" x14ac:dyDescent="0.25">
      <c r="A94" s="36"/>
      <c r="B94" s="128" t="s">
        <v>146</v>
      </c>
      <c r="C94" s="128">
        <f>C91-C93</f>
        <v>1000</v>
      </c>
      <c r="D94" s="128">
        <f>D91-D93</f>
        <v>1300</v>
      </c>
      <c r="E94" s="128">
        <f t="shared" ref="E94" si="131">E91-E93</f>
        <v>0</v>
      </c>
      <c r="F94" s="128">
        <f t="shared" ref="F94" si="132">F91-F93</f>
        <v>0</v>
      </c>
      <c r="G94" s="128">
        <f t="shared" ref="G94" si="133">G91-G93</f>
        <v>0</v>
      </c>
      <c r="H94" s="128">
        <f t="shared" ref="H94" si="134">H91-H93</f>
        <v>0</v>
      </c>
      <c r="I94" s="128">
        <f t="shared" ref="I94" si="135">I91-I93</f>
        <v>0</v>
      </c>
      <c r="J94" s="128">
        <f t="shared" ref="J94" si="136">J91-J93</f>
        <v>0</v>
      </c>
      <c r="K94" s="128">
        <f t="shared" ref="K94" si="137">K91-K93</f>
        <v>0</v>
      </c>
      <c r="L94" s="128">
        <f t="shared" ref="L94" si="138">L91-L93</f>
        <v>0</v>
      </c>
      <c r="M94" s="128">
        <f t="shared" ref="M94" si="139">M91-M93</f>
        <v>0</v>
      </c>
      <c r="N94" s="128">
        <f t="shared" ref="N94" si="140">N91-N93</f>
        <v>0</v>
      </c>
      <c r="O94" s="128">
        <f t="shared" ref="O94" si="141">O91-O93</f>
        <v>0</v>
      </c>
      <c r="P94" s="128">
        <f t="shared" ref="P94" si="142">P91-P93</f>
        <v>0</v>
      </c>
      <c r="Q94" s="128">
        <f t="shared" ref="Q94" si="143">Q91-Q93</f>
        <v>0</v>
      </c>
      <c r="R94" s="77">
        <f t="shared" ref="R94" si="144">R91-R93</f>
        <v>0</v>
      </c>
    </row>
    <row r="95" spans="1:18" hidden="1" outlineLevel="1" x14ac:dyDescent="0.25">
      <c r="A95" s="36"/>
      <c r="B95" s="128" t="s">
        <v>147</v>
      </c>
      <c r="C95" s="128">
        <f t="shared" ref="C95:R95" si="145">_xlfn.DAYS($B$4,C92)</f>
        <v>17</v>
      </c>
      <c r="D95" s="128">
        <f t="shared" si="145"/>
        <v>0</v>
      </c>
      <c r="E95" s="128">
        <f t="shared" si="145"/>
        <v>43410</v>
      </c>
      <c r="F95" s="128">
        <f t="shared" si="145"/>
        <v>43410</v>
      </c>
      <c r="G95" s="128">
        <f t="shared" si="145"/>
        <v>43410</v>
      </c>
      <c r="H95" s="128">
        <f t="shared" si="145"/>
        <v>43410</v>
      </c>
      <c r="I95" s="128">
        <f t="shared" si="145"/>
        <v>43410</v>
      </c>
      <c r="J95" s="128">
        <f t="shared" si="145"/>
        <v>43410</v>
      </c>
      <c r="K95" s="128">
        <f t="shared" si="145"/>
        <v>43410</v>
      </c>
      <c r="L95" s="128">
        <f t="shared" si="145"/>
        <v>43410</v>
      </c>
      <c r="M95" s="128">
        <f t="shared" si="145"/>
        <v>43410</v>
      </c>
      <c r="N95" s="128">
        <f t="shared" si="145"/>
        <v>43410</v>
      </c>
      <c r="O95" s="128">
        <f t="shared" si="145"/>
        <v>43410</v>
      </c>
      <c r="P95" s="128">
        <f t="shared" si="145"/>
        <v>43410</v>
      </c>
      <c r="Q95" s="128">
        <f t="shared" si="145"/>
        <v>43410</v>
      </c>
      <c r="R95" s="77">
        <f t="shared" si="145"/>
        <v>43410</v>
      </c>
    </row>
    <row r="96" spans="1:18" hidden="1" outlineLevel="1" x14ac:dyDescent="0.25">
      <c r="A96" s="36"/>
      <c r="B96" s="128" t="s">
        <v>148</v>
      </c>
      <c r="C96" s="128"/>
      <c r="D96" s="131">
        <f>IFERROR(D94/_xlfn.DAYS(D90,C92),0)</f>
        <v>81.25</v>
      </c>
      <c r="E96" s="131">
        <f t="shared" ref="E96:R96" si="146">IFERROR(E94/_xlfn.DAYS(E90,D92),0)</f>
        <v>0</v>
      </c>
      <c r="F96" s="131">
        <f t="shared" si="146"/>
        <v>0</v>
      </c>
      <c r="G96" s="131">
        <f t="shared" si="146"/>
        <v>0</v>
      </c>
      <c r="H96" s="131">
        <f t="shared" si="146"/>
        <v>0</v>
      </c>
      <c r="I96" s="131">
        <f t="shared" si="146"/>
        <v>0</v>
      </c>
      <c r="J96" s="131">
        <f t="shared" si="146"/>
        <v>0</v>
      </c>
      <c r="K96" s="131">
        <f t="shared" si="146"/>
        <v>0</v>
      </c>
      <c r="L96" s="131">
        <f t="shared" si="146"/>
        <v>0</v>
      </c>
      <c r="M96" s="131">
        <f t="shared" si="146"/>
        <v>0</v>
      </c>
      <c r="N96" s="131">
        <f t="shared" si="146"/>
        <v>0</v>
      </c>
      <c r="O96" s="131">
        <f t="shared" si="146"/>
        <v>0</v>
      </c>
      <c r="P96" s="131">
        <f t="shared" si="146"/>
        <v>0</v>
      </c>
      <c r="Q96" s="131">
        <f t="shared" si="146"/>
        <v>0</v>
      </c>
      <c r="R96" s="132">
        <f t="shared" si="146"/>
        <v>0</v>
      </c>
    </row>
    <row r="97" spans="1:18" ht="15.75" hidden="1" outlineLevel="1" thickBot="1" x14ac:dyDescent="0.3">
      <c r="A97" s="40"/>
      <c r="B97" s="133" t="s">
        <v>150</v>
      </c>
      <c r="C97" s="133">
        <f>C94/1000</f>
        <v>1</v>
      </c>
      <c r="D97" s="133">
        <f>SUM($C$13:D94)/1000</f>
        <v>1667.7004547119373</v>
      </c>
      <c r="E97" s="133">
        <f>SUM($C$13:E94)/1000</f>
        <v>2066.643682513426</v>
      </c>
      <c r="F97" s="133">
        <f>SUM($C$13:F94)/1000</f>
        <v>2467.1726142862499</v>
      </c>
      <c r="G97" s="133">
        <f>SUM($C$13:G94)/1000</f>
        <v>2869.2909364218581</v>
      </c>
      <c r="H97" s="133">
        <f>SUM($C$13:H94)/1000</f>
        <v>3273.0023408268689</v>
      </c>
      <c r="I97" s="133">
        <f>SUM($C$13:I94)/1000</f>
        <v>3678.3105249285663</v>
      </c>
      <c r="J97" s="133">
        <f>SUM($C$13:J94)/1000</f>
        <v>4085.2191916804127</v>
      </c>
      <c r="K97" s="133">
        <f>SUM($C$13:K94)/1000</f>
        <v>4493.7320495675613</v>
      </c>
      <c r="L97" s="133">
        <f>SUM($C$13:L94)/1000</f>
        <v>4903.8528126123638</v>
      </c>
      <c r="M97" s="133">
        <f>SUM($C$13:M94)/1000</f>
        <v>5315.5852003799</v>
      </c>
      <c r="N97" s="133">
        <f>SUM($C$13:N94)/1000</f>
        <v>5728.9329379834844</v>
      </c>
      <c r="O97" s="133">
        <f>SUM($C$13:O94)/1000</f>
        <v>6143.899756090208</v>
      </c>
      <c r="P97" s="133">
        <f>SUM($C$13:P94)/1000</f>
        <v>6560.4893909264538</v>
      </c>
      <c r="Q97" s="133">
        <f>SUM($C$13:Q94)/1000</f>
        <v>6978.7055842834452</v>
      </c>
      <c r="R97" s="78">
        <f>SUM($C$13:R94)/1000</f>
        <v>7398.5520835227671</v>
      </c>
    </row>
    <row r="98" spans="1:18" ht="15.75" collapsed="1" thickBot="1" x14ac:dyDescent="0.3"/>
    <row r="99" spans="1:18" ht="15.75" thickBot="1" x14ac:dyDescent="0.3">
      <c r="A99" s="134" t="s">
        <v>167</v>
      </c>
      <c r="B99" s="125" t="s">
        <v>142</v>
      </c>
      <c r="C99" s="126">
        <v>43392</v>
      </c>
      <c r="D99" s="126">
        <v>43409</v>
      </c>
      <c r="E99" s="126"/>
      <c r="F99" s="126"/>
      <c r="G99" s="126"/>
      <c r="H99" s="126"/>
      <c r="I99" s="126"/>
      <c r="J99" s="126"/>
      <c r="K99" s="126"/>
      <c r="L99" s="126"/>
      <c r="M99" s="126"/>
      <c r="N99" s="126"/>
      <c r="O99" s="126"/>
      <c r="P99" s="126"/>
      <c r="Q99" s="126"/>
      <c r="R99" s="127"/>
    </row>
    <row r="100" spans="1:18" hidden="1" outlineLevel="1" x14ac:dyDescent="0.25">
      <c r="A100" s="36"/>
      <c r="B100" s="128" t="s">
        <v>143</v>
      </c>
      <c r="C100" s="121">
        <v>2500</v>
      </c>
      <c r="D100" s="121">
        <v>2800</v>
      </c>
      <c r="E100" s="121"/>
      <c r="F100" s="121"/>
      <c r="G100" s="121"/>
      <c r="H100" s="121"/>
      <c r="I100" s="121"/>
      <c r="J100" s="121"/>
      <c r="K100" s="121"/>
      <c r="L100" s="121"/>
      <c r="M100" s="121"/>
      <c r="N100" s="121"/>
      <c r="O100" s="121"/>
      <c r="P100" s="121"/>
      <c r="Q100" s="121"/>
      <c r="R100" s="129"/>
    </row>
    <row r="101" spans="1:18" hidden="1" outlineLevel="1" x14ac:dyDescent="0.25">
      <c r="A101" s="36"/>
      <c r="B101" s="128" t="s">
        <v>144</v>
      </c>
      <c r="C101" s="124">
        <v>43393</v>
      </c>
      <c r="D101" s="124">
        <v>43410</v>
      </c>
      <c r="E101" s="124"/>
      <c r="F101" s="124"/>
      <c r="G101" s="124"/>
      <c r="H101" s="124"/>
      <c r="I101" s="124"/>
      <c r="J101" s="124"/>
      <c r="K101" s="124"/>
      <c r="L101" s="124"/>
      <c r="M101" s="124"/>
      <c r="N101" s="124"/>
      <c r="O101" s="124"/>
      <c r="P101" s="124"/>
      <c r="Q101" s="124"/>
      <c r="R101" s="130"/>
    </row>
    <row r="102" spans="1:18" hidden="1" outlineLevel="1" x14ac:dyDescent="0.25">
      <c r="A102" s="36"/>
      <c r="B102" s="128" t="s">
        <v>145</v>
      </c>
      <c r="C102" s="121">
        <v>1500</v>
      </c>
      <c r="D102" s="121">
        <v>1500</v>
      </c>
      <c r="E102" s="121"/>
      <c r="F102" s="121"/>
      <c r="G102" s="121"/>
      <c r="H102" s="121"/>
      <c r="I102" s="121"/>
      <c r="J102" s="121"/>
      <c r="K102" s="121"/>
      <c r="L102" s="121"/>
      <c r="M102" s="121"/>
      <c r="N102" s="121"/>
      <c r="O102" s="121"/>
      <c r="P102" s="121"/>
      <c r="Q102" s="121"/>
      <c r="R102" s="129"/>
    </row>
    <row r="103" spans="1:18" hidden="1" outlineLevel="1" x14ac:dyDescent="0.25">
      <c r="A103" s="36"/>
      <c r="B103" s="128" t="s">
        <v>146</v>
      </c>
      <c r="C103" s="128">
        <f>C100-C102</f>
        <v>1000</v>
      </c>
      <c r="D103" s="128">
        <f>D100-D102</f>
        <v>1300</v>
      </c>
      <c r="E103" s="128">
        <f t="shared" ref="E103" si="147">E100-E102</f>
        <v>0</v>
      </c>
      <c r="F103" s="128">
        <f t="shared" ref="F103" si="148">F100-F102</f>
        <v>0</v>
      </c>
      <c r="G103" s="128">
        <f t="shared" ref="G103" si="149">G100-G102</f>
        <v>0</v>
      </c>
      <c r="H103" s="128">
        <f t="shared" ref="H103" si="150">H100-H102</f>
        <v>0</v>
      </c>
      <c r="I103" s="128">
        <f t="shared" ref="I103" si="151">I100-I102</f>
        <v>0</v>
      </c>
      <c r="J103" s="128">
        <f t="shared" ref="J103" si="152">J100-J102</f>
        <v>0</v>
      </c>
      <c r="K103" s="128">
        <f t="shared" ref="K103" si="153">K100-K102</f>
        <v>0</v>
      </c>
      <c r="L103" s="128">
        <f t="shared" ref="L103" si="154">L100-L102</f>
        <v>0</v>
      </c>
      <c r="M103" s="128">
        <f t="shared" ref="M103" si="155">M100-M102</f>
        <v>0</v>
      </c>
      <c r="N103" s="128">
        <f t="shared" ref="N103" si="156">N100-N102</f>
        <v>0</v>
      </c>
      <c r="O103" s="128">
        <f t="shared" ref="O103" si="157">O100-O102</f>
        <v>0</v>
      </c>
      <c r="P103" s="128">
        <f t="shared" ref="P103" si="158">P100-P102</f>
        <v>0</v>
      </c>
      <c r="Q103" s="128">
        <f t="shared" ref="Q103" si="159">Q100-Q102</f>
        <v>0</v>
      </c>
      <c r="R103" s="77">
        <f t="shared" ref="R103" si="160">R100-R102</f>
        <v>0</v>
      </c>
    </row>
    <row r="104" spans="1:18" hidden="1" outlineLevel="1" x14ac:dyDescent="0.25">
      <c r="A104" s="36"/>
      <c r="B104" s="128" t="s">
        <v>147</v>
      </c>
      <c r="C104" s="128">
        <f t="shared" ref="C104:R104" si="161">_xlfn.DAYS($B$4,C101)</f>
        <v>17</v>
      </c>
      <c r="D104" s="128">
        <f t="shared" si="161"/>
        <v>0</v>
      </c>
      <c r="E104" s="128">
        <f t="shared" si="161"/>
        <v>43410</v>
      </c>
      <c r="F104" s="128">
        <f t="shared" si="161"/>
        <v>43410</v>
      </c>
      <c r="G104" s="128">
        <f t="shared" si="161"/>
        <v>43410</v>
      </c>
      <c r="H104" s="128">
        <f t="shared" si="161"/>
        <v>43410</v>
      </c>
      <c r="I104" s="128">
        <f t="shared" si="161"/>
        <v>43410</v>
      </c>
      <c r="J104" s="128">
        <f t="shared" si="161"/>
        <v>43410</v>
      </c>
      <c r="K104" s="128">
        <f t="shared" si="161"/>
        <v>43410</v>
      </c>
      <c r="L104" s="128">
        <f t="shared" si="161"/>
        <v>43410</v>
      </c>
      <c r="M104" s="128">
        <f t="shared" si="161"/>
        <v>43410</v>
      </c>
      <c r="N104" s="128">
        <f t="shared" si="161"/>
        <v>43410</v>
      </c>
      <c r="O104" s="128">
        <f t="shared" si="161"/>
        <v>43410</v>
      </c>
      <c r="P104" s="128">
        <f t="shared" si="161"/>
        <v>43410</v>
      </c>
      <c r="Q104" s="128">
        <f t="shared" si="161"/>
        <v>43410</v>
      </c>
      <c r="R104" s="77">
        <f t="shared" si="161"/>
        <v>43410</v>
      </c>
    </row>
    <row r="105" spans="1:18" hidden="1" outlineLevel="1" x14ac:dyDescent="0.25">
      <c r="A105" s="36"/>
      <c r="B105" s="128" t="s">
        <v>148</v>
      </c>
      <c r="C105" s="128"/>
      <c r="D105" s="131">
        <f>IFERROR(D103/_xlfn.DAYS(D99,C101),0)</f>
        <v>81.25</v>
      </c>
      <c r="E105" s="131">
        <f t="shared" ref="E105:R105" si="162">IFERROR(E103/_xlfn.DAYS(E99,D101),0)</f>
        <v>0</v>
      </c>
      <c r="F105" s="131">
        <f t="shared" si="162"/>
        <v>0</v>
      </c>
      <c r="G105" s="131">
        <f t="shared" si="162"/>
        <v>0</v>
      </c>
      <c r="H105" s="131">
        <f t="shared" si="162"/>
        <v>0</v>
      </c>
      <c r="I105" s="131">
        <f t="shared" si="162"/>
        <v>0</v>
      </c>
      <c r="J105" s="131">
        <f t="shared" si="162"/>
        <v>0</v>
      </c>
      <c r="K105" s="131">
        <f t="shared" si="162"/>
        <v>0</v>
      </c>
      <c r="L105" s="131">
        <f t="shared" si="162"/>
        <v>0</v>
      </c>
      <c r="M105" s="131">
        <f t="shared" si="162"/>
        <v>0</v>
      </c>
      <c r="N105" s="131">
        <f t="shared" si="162"/>
        <v>0</v>
      </c>
      <c r="O105" s="131">
        <f t="shared" si="162"/>
        <v>0</v>
      </c>
      <c r="P105" s="131">
        <f t="shared" si="162"/>
        <v>0</v>
      </c>
      <c r="Q105" s="131">
        <f t="shared" si="162"/>
        <v>0</v>
      </c>
      <c r="R105" s="132">
        <f t="shared" si="162"/>
        <v>0</v>
      </c>
    </row>
    <row r="106" spans="1:18" ht="15.75" hidden="1" outlineLevel="1" thickBot="1" x14ac:dyDescent="0.3">
      <c r="A106" s="40"/>
      <c r="B106" s="133" t="s">
        <v>150</v>
      </c>
      <c r="C106" s="133">
        <f>C103/1000</f>
        <v>1</v>
      </c>
      <c r="D106" s="133">
        <f>SUM($C$13:D103)/1000</f>
        <v>1853.6714051666493</v>
      </c>
      <c r="E106" s="133">
        <f>SUM($C$13:E103)/1000</f>
        <v>2298.0912766506513</v>
      </c>
      <c r="F106" s="133">
        <f>SUM($C$13:F103)/1000</f>
        <v>2744.4973810377614</v>
      </c>
      <c r="G106" s="133">
        <f>SUM($C$13:G103)/1000</f>
        <v>3192.8949941097917</v>
      </c>
      <c r="H106" s="133">
        <f>SUM($C$13:H103)/1000</f>
        <v>3643.2894008556291</v>
      </c>
      <c r="I106" s="133">
        <f>SUM($C$13:I103)/1000</f>
        <v>4095.6858954822551</v>
      </c>
      <c r="J106" s="133">
        <f>SUM($C$13:J103)/1000</f>
        <v>4550.0897814257823</v>
      </c>
      <c r="K106" s="133">
        <f>SUM($C$13:K103)/1000</f>
        <v>5006.5063713624986</v>
      </c>
      <c r="L106" s="133">
        <f>SUM($C$13:L103)/1000</f>
        <v>5464.9409872199139</v>
      </c>
      <c r="M106" s="133">
        <f>SUM($C$13:M103)/1000</f>
        <v>5925.3989601878293</v>
      </c>
      <c r="N106" s="133">
        <f>SUM($C$13:N103)/1000</f>
        <v>6387.8856307293972</v>
      </c>
      <c r="O106" s="133">
        <f>SUM($C$13:O103)/1000</f>
        <v>6852.4063485922106</v>
      </c>
      <c r="P106" s="133">
        <f>SUM($C$13:P103)/1000</f>
        <v>7318.9664728193829</v>
      </c>
      <c r="Q106" s="133">
        <f>SUM($C$13:Q103)/1000</f>
        <v>7787.5713717606568</v>
      </c>
      <c r="R106" s="78">
        <f>SUM($C$13:R103)/1000</f>
        <v>8258.2264230835026</v>
      </c>
    </row>
    <row r="107" spans="1:18" ht="15.75" collapsed="1" thickBot="1" x14ac:dyDescent="0.3"/>
    <row r="108" spans="1:18" ht="15.75" thickBot="1" x14ac:dyDescent="0.3">
      <c r="A108" s="134" t="s">
        <v>167</v>
      </c>
      <c r="B108" s="125" t="s">
        <v>142</v>
      </c>
      <c r="C108" s="126">
        <v>43392</v>
      </c>
      <c r="D108" s="126">
        <v>43409</v>
      </c>
      <c r="E108" s="126"/>
      <c r="F108" s="126"/>
      <c r="G108" s="126"/>
      <c r="H108" s="126"/>
      <c r="I108" s="126"/>
      <c r="J108" s="126"/>
      <c r="K108" s="126"/>
      <c r="L108" s="126"/>
      <c r="M108" s="126"/>
      <c r="N108" s="126"/>
      <c r="O108" s="126"/>
      <c r="P108" s="126"/>
      <c r="Q108" s="126"/>
      <c r="R108" s="127"/>
    </row>
    <row r="109" spans="1:18" hidden="1" outlineLevel="1" x14ac:dyDescent="0.25">
      <c r="A109" s="36"/>
      <c r="B109" s="128" t="s">
        <v>143</v>
      </c>
      <c r="C109" s="121">
        <v>2500</v>
      </c>
      <c r="D109" s="121">
        <v>2800</v>
      </c>
      <c r="E109" s="121"/>
      <c r="F109" s="121"/>
      <c r="G109" s="121"/>
      <c r="H109" s="121"/>
      <c r="I109" s="121"/>
      <c r="J109" s="121"/>
      <c r="K109" s="121"/>
      <c r="L109" s="121"/>
      <c r="M109" s="121"/>
      <c r="N109" s="121"/>
      <c r="O109" s="121"/>
      <c r="P109" s="121"/>
      <c r="Q109" s="121"/>
      <c r="R109" s="129"/>
    </row>
    <row r="110" spans="1:18" hidden="1" outlineLevel="1" x14ac:dyDescent="0.25">
      <c r="A110" s="36"/>
      <c r="B110" s="128" t="s">
        <v>144</v>
      </c>
      <c r="C110" s="124">
        <v>43393</v>
      </c>
      <c r="D110" s="124">
        <v>43410</v>
      </c>
      <c r="E110" s="124"/>
      <c r="F110" s="124"/>
      <c r="G110" s="124"/>
      <c r="H110" s="124"/>
      <c r="I110" s="124"/>
      <c r="J110" s="124"/>
      <c r="K110" s="124"/>
      <c r="L110" s="124"/>
      <c r="M110" s="124"/>
      <c r="N110" s="124"/>
      <c r="O110" s="124"/>
      <c r="P110" s="124"/>
      <c r="Q110" s="124"/>
      <c r="R110" s="130"/>
    </row>
    <row r="111" spans="1:18" hidden="1" outlineLevel="1" x14ac:dyDescent="0.25">
      <c r="A111" s="36"/>
      <c r="B111" s="128" t="s">
        <v>145</v>
      </c>
      <c r="C111" s="121">
        <v>1500</v>
      </c>
      <c r="D111" s="121">
        <v>1500</v>
      </c>
      <c r="E111" s="121"/>
      <c r="F111" s="121"/>
      <c r="G111" s="121"/>
      <c r="H111" s="121"/>
      <c r="I111" s="121"/>
      <c r="J111" s="121"/>
      <c r="K111" s="121"/>
      <c r="L111" s="121"/>
      <c r="M111" s="121"/>
      <c r="N111" s="121"/>
      <c r="O111" s="121"/>
      <c r="P111" s="121"/>
      <c r="Q111" s="121"/>
      <c r="R111" s="129"/>
    </row>
    <row r="112" spans="1:18" hidden="1" outlineLevel="1" x14ac:dyDescent="0.25">
      <c r="A112" s="36"/>
      <c r="B112" s="128" t="s">
        <v>146</v>
      </c>
      <c r="C112" s="128">
        <f>C109-C111</f>
        <v>1000</v>
      </c>
      <c r="D112" s="128">
        <f>D109-D111</f>
        <v>1300</v>
      </c>
      <c r="E112" s="128">
        <f t="shared" ref="E112" si="163">E109-E111</f>
        <v>0</v>
      </c>
      <c r="F112" s="128">
        <f t="shared" ref="F112" si="164">F109-F111</f>
        <v>0</v>
      </c>
      <c r="G112" s="128">
        <f t="shared" ref="G112" si="165">G109-G111</f>
        <v>0</v>
      </c>
      <c r="H112" s="128">
        <f t="shared" ref="H112" si="166">H109-H111</f>
        <v>0</v>
      </c>
      <c r="I112" s="128">
        <f t="shared" ref="I112" si="167">I109-I111</f>
        <v>0</v>
      </c>
      <c r="J112" s="128">
        <f t="shared" ref="J112" si="168">J109-J111</f>
        <v>0</v>
      </c>
      <c r="K112" s="128">
        <f t="shared" ref="K112" si="169">K109-K111</f>
        <v>0</v>
      </c>
      <c r="L112" s="128">
        <f t="shared" ref="L112" si="170">L109-L111</f>
        <v>0</v>
      </c>
      <c r="M112" s="128">
        <f t="shared" ref="M112" si="171">M109-M111</f>
        <v>0</v>
      </c>
      <c r="N112" s="128">
        <f t="shared" ref="N112" si="172">N109-N111</f>
        <v>0</v>
      </c>
      <c r="O112" s="128">
        <f t="shared" ref="O112" si="173">O109-O111</f>
        <v>0</v>
      </c>
      <c r="P112" s="128">
        <f t="shared" ref="P112" si="174">P109-P111</f>
        <v>0</v>
      </c>
      <c r="Q112" s="128">
        <f t="shared" ref="Q112" si="175">Q109-Q111</f>
        <v>0</v>
      </c>
      <c r="R112" s="77">
        <f t="shared" ref="R112" si="176">R109-R111</f>
        <v>0</v>
      </c>
    </row>
    <row r="113" spans="1:18" hidden="1" outlineLevel="1" x14ac:dyDescent="0.25">
      <c r="A113" s="36"/>
      <c r="B113" s="128" t="s">
        <v>147</v>
      </c>
      <c r="C113" s="128">
        <f t="shared" ref="C113:R113" si="177">_xlfn.DAYS($B$4,C110)</f>
        <v>17</v>
      </c>
      <c r="D113" s="128">
        <f t="shared" si="177"/>
        <v>0</v>
      </c>
      <c r="E113" s="128">
        <f t="shared" si="177"/>
        <v>43410</v>
      </c>
      <c r="F113" s="128">
        <f t="shared" si="177"/>
        <v>43410</v>
      </c>
      <c r="G113" s="128">
        <f t="shared" si="177"/>
        <v>43410</v>
      </c>
      <c r="H113" s="128">
        <f t="shared" si="177"/>
        <v>43410</v>
      </c>
      <c r="I113" s="128">
        <f t="shared" si="177"/>
        <v>43410</v>
      </c>
      <c r="J113" s="128">
        <f t="shared" si="177"/>
        <v>43410</v>
      </c>
      <c r="K113" s="128">
        <f t="shared" si="177"/>
        <v>43410</v>
      </c>
      <c r="L113" s="128">
        <f t="shared" si="177"/>
        <v>43410</v>
      </c>
      <c r="M113" s="128">
        <f t="shared" si="177"/>
        <v>43410</v>
      </c>
      <c r="N113" s="128">
        <f t="shared" si="177"/>
        <v>43410</v>
      </c>
      <c r="O113" s="128">
        <f t="shared" si="177"/>
        <v>43410</v>
      </c>
      <c r="P113" s="128">
        <f t="shared" si="177"/>
        <v>43410</v>
      </c>
      <c r="Q113" s="128">
        <f t="shared" si="177"/>
        <v>43410</v>
      </c>
      <c r="R113" s="77">
        <f t="shared" si="177"/>
        <v>43410</v>
      </c>
    </row>
    <row r="114" spans="1:18" hidden="1" outlineLevel="1" x14ac:dyDescent="0.25">
      <c r="A114" s="36"/>
      <c r="B114" s="128" t="s">
        <v>148</v>
      </c>
      <c r="C114" s="128"/>
      <c r="D114" s="131">
        <f>IFERROR(D112/_xlfn.DAYS(D108,C110),0)</f>
        <v>81.25</v>
      </c>
      <c r="E114" s="131">
        <f t="shared" ref="E114:R114" si="178">IFERROR(E112/_xlfn.DAYS(E108,D110),0)</f>
        <v>0</v>
      </c>
      <c r="F114" s="131">
        <f t="shared" si="178"/>
        <v>0</v>
      </c>
      <c r="G114" s="131">
        <f t="shared" si="178"/>
        <v>0</v>
      </c>
      <c r="H114" s="131">
        <f t="shared" si="178"/>
        <v>0</v>
      </c>
      <c r="I114" s="131">
        <f t="shared" si="178"/>
        <v>0</v>
      </c>
      <c r="J114" s="131">
        <f t="shared" si="178"/>
        <v>0</v>
      </c>
      <c r="K114" s="131">
        <f t="shared" si="178"/>
        <v>0</v>
      </c>
      <c r="L114" s="131">
        <f t="shared" si="178"/>
        <v>0</v>
      </c>
      <c r="M114" s="131">
        <f t="shared" si="178"/>
        <v>0</v>
      </c>
      <c r="N114" s="131">
        <f t="shared" si="178"/>
        <v>0</v>
      </c>
      <c r="O114" s="131">
        <f t="shared" si="178"/>
        <v>0</v>
      </c>
      <c r="P114" s="131">
        <f t="shared" si="178"/>
        <v>0</v>
      </c>
      <c r="Q114" s="131">
        <f t="shared" si="178"/>
        <v>0</v>
      </c>
      <c r="R114" s="132">
        <f t="shared" si="178"/>
        <v>0</v>
      </c>
    </row>
    <row r="115" spans="1:18" ht="15.75" hidden="1" outlineLevel="1" thickBot="1" x14ac:dyDescent="0.3">
      <c r="A115" s="40"/>
      <c r="B115" s="133" t="s">
        <v>150</v>
      </c>
      <c r="C115" s="133">
        <f>C112/1000</f>
        <v>1</v>
      </c>
      <c r="D115" s="133">
        <f>SUM($C$13:D112)/1000</f>
        <v>2039.828326571816</v>
      </c>
      <c r="E115" s="133">
        <f>SUM($C$13:E112)/1000</f>
        <v>2529.9562893324692</v>
      </c>
      <c r="F115" s="133">
        <f>SUM($C$13:F112)/1000</f>
        <v>3022.5168911006167</v>
      </c>
      <c r="G115" s="133">
        <f>SUM($C$13:G112)/1000</f>
        <v>3517.5173991667566</v>
      </c>
      <c r="H115" s="133">
        <f>SUM($C$13:H112)/1000</f>
        <v>4014.9650953134496</v>
      </c>
      <c r="I115" s="133">
        <f>SUM($C$13:I112)/1000</f>
        <v>4514.8672758355578</v>
      </c>
      <c r="J115" s="133">
        <f>SUM($C$13:J112)/1000</f>
        <v>5017.2312515605108</v>
      </c>
      <c r="K115" s="133">
        <f>SUM($C$13:K112)/1000</f>
        <v>5522.0643478685897</v>
      </c>
      <c r="L115" s="133">
        <f>SUM($C$13:L112)/1000</f>
        <v>6029.3739047132249</v>
      </c>
      <c r="M115" s="133">
        <f>SUM($C$13:M112)/1000</f>
        <v>6539.1672766413276</v>
      </c>
      <c r="N115" s="133">
        <f>SUM($C$13:N112)/1000</f>
        <v>7051.4518328136255</v>
      </c>
      <c r="O115" s="133">
        <f>SUM($C$13:O112)/1000</f>
        <v>7566.2349570250317</v>
      </c>
      <c r="P115" s="133">
        <f>SUM($C$13:P112)/1000</f>
        <v>8083.5240477250236</v>
      </c>
      <c r="Q115" s="133">
        <f>SUM($C$13:Q112)/1000</f>
        <v>8603.3265180380549</v>
      </c>
      <c r="R115" s="78">
        <f>SUM($C$13:R112)/1000</f>
        <v>9125.6497957839838</v>
      </c>
    </row>
    <row r="116" spans="1:18" ht="15.75" collapsed="1" thickBot="1" x14ac:dyDescent="0.3"/>
    <row r="117" spans="1:18" ht="15.75" thickBot="1" x14ac:dyDescent="0.3">
      <c r="A117" s="134" t="s">
        <v>167</v>
      </c>
      <c r="B117" s="125" t="s">
        <v>142</v>
      </c>
      <c r="C117" s="126">
        <v>43392</v>
      </c>
      <c r="D117" s="126">
        <v>43409</v>
      </c>
      <c r="E117" s="126"/>
      <c r="F117" s="126"/>
      <c r="G117" s="126"/>
      <c r="H117" s="126"/>
      <c r="I117" s="126"/>
      <c r="J117" s="126"/>
      <c r="K117" s="126"/>
      <c r="L117" s="126"/>
      <c r="M117" s="126"/>
      <c r="N117" s="126"/>
      <c r="O117" s="126"/>
      <c r="P117" s="126"/>
      <c r="Q117" s="126"/>
      <c r="R117" s="127"/>
    </row>
    <row r="118" spans="1:18" hidden="1" outlineLevel="1" x14ac:dyDescent="0.25">
      <c r="A118" s="36"/>
      <c r="B118" s="128" t="s">
        <v>143</v>
      </c>
      <c r="C118" s="121">
        <v>2500</v>
      </c>
      <c r="D118" s="121">
        <v>2800</v>
      </c>
      <c r="E118" s="121"/>
      <c r="F118" s="121"/>
      <c r="G118" s="121"/>
      <c r="H118" s="121"/>
      <c r="I118" s="121"/>
      <c r="J118" s="121"/>
      <c r="K118" s="121"/>
      <c r="L118" s="121"/>
      <c r="M118" s="121"/>
      <c r="N118" s="121"/>
      <c r="O118" s="121"/>
      <c r="P118" s="121"/>
      <c r="Q118" s="121"/>
      <c r="R118" s="129"/>
    </row>
    <row r="119" spans="1:18" hidden="1" outlineLevel="1" x14ac:dyDescent="0.25">
      <c r="A119" s="36"/>
      <c r="B119" s="128" t="s">
        <v>144</v>
      </c>
      <c r="C119" s="124">
        <v>43393</v>
      </c>
      <c r="D119" s="124">
        <v>43410</v>
      </c>
      <c r="E119" s="124"/>
      <c r="F119" s="124"/>
      <c r="G119" s="124"/>
      <c r="H119" s="124"/>
      <c r="I119" s="124"/>
      <c r="J119" s="124"/>
      <c r="K119" s="124"/>
      <c r="L119" s="124"/>
      <c r="M119" s="124"/>
      <c r="N119" s="124"/>
      <c r="O119" s="124"/>
      <c r="P119" s="124"/>
      <c r="Q119" s="124"/>
      <c r="R119" s="130"/>
    </row>
    <row r="120" spans="1:18" hidden="1" outlineLevel="1" x14ac:dyDescent="0.25">
      <c r="A120" s="36"/>
      <c r="B120" s="128" t="s">
        <v>145</v>
      </c>
      <c r="C120" s="121">
        <v>1500</v>
      </c>
      <c r="D120" s="121">
        <v>1500</v>
      </c>
      <c r="E120" s="121"/>
      <c r="F120" s="121"/>
      <c r="G120" s="121"/>
      <c r="H120" s="121"/>
      <c r="I120" s="121"/>
      <c r="J120" s="121"/>
      <c r="K120" s="121"/>
      <c r="L120" s="121"/>
      <c r="M120" s="121"/>
      <c r="N120" s="121"/>
      <c r="O120" s="121"/>
      <c r="P120" s="121"/>
      <c r="Q120" s="121"/>
      <c r="R120" s="129"/>
    </row>
    <row r="121" spans="1:18" hidden="1" outlineLevel="1" x14ac:dyDescent="0.25">
      <c r="A121" s="36"/>
      <c r="B121" s="128" t="s">
        <v>146</v>
      </c>
      <c r="C121" s="128">
        <f>C118-C120</f>
        <v>1000</v>
      </c>
      <c r="D121" s="128">
        <f>D118-D120</f>
        <v>1300</v>
      </c>
      <c r="E121" s="128">
        <f t="shared" ref="E121" si="179">E118-E120</f>
        <v>0</v>
      </c>
      <c r="F121" s="128">
        <f t="shared" ref="F121" si="180">F118-F120</f>
        <v>0</v>
      </c>
      <c r="G121" s="128">
        <f t="shared" ref="G121" si="181">G118-G120</f>
        <v>0</v>
      </c>
      <c r="H121" s="128">
        <f t="shared" ref="H121" si="182">H118-H120</f>
        <v>0</v>
      </c>
      <c r="I121" s="128">
        <f t="shared" ref="I121" si="183">I118-I120</f>
        <v>0</v>
      </c>
      <c r="J121" s="128">
        <f t="shared" ref="J121" si="184">J118-J120</f>
        <v>0</v>
      </c>
      <c r="K121" s="128">
        <f t="shared" ref="K121" si="185">K118-K120</f>
        <v>0</v>
      </c>
      <c r="L121" s="128">
        <f t="shared" ref="L121" si="186">L118-L120</f>
        <v>0</v>
      </c>
      <c r="M121" s="128">
        <f t="shared" ref="M121" si="187">M118-M120</f>
        <v>0</v>
      </c>
      <c r="N121" s="128">
        <f t="shared" ref="N121" si="188">N118-N120</f>
        <v>0</v>
      </c>
      <c r="O121" s="128">
        <f t="shared" ref="O121" si="189">O118-O120</f>
        <v>0</v>
      </c>
      <c r="P121" s="128">
        <f t="shared" ref="P121" si="190">P118-P120</f>
        <v>0</v>
      </c>
      <c r="Q121" s="128">
        <f t="shared" ref="Q121" si="191">Q118-Q120</f>
        <v>0</v>
      </c>
      <c r="R121" s="77">
        <f t="shared" ref="R121" si="192">R118-R120</f>
        <v>0</v>
      </c>
    </row>
    <row r="122" spans="1:18" hidden="1" outlineLevel="1" x14ac:dyDescent="0.25">
      <c r="A122" s="36"/>
      <c r="B122" s="128" t="s">
        <v>147</v>
      </c>
      <c r="C122" s="128">
        <f t="shared" ref="C122:R122" si="193">_xlfn.DAYS($B$4,C119)</f>
        <v>17</v>
      </c>
      <c r="D122" s="128">
        <f t="shared" si="193"/>
        <v>0</v>
      </c>
      <c r="E122" s="128">
        <f t="shared" si="193"/>
        <v>43410</v>
      </c>
      <c r="F122" s="128">
        <f t="shared" si="193"/>
        <v>43410</v>
      </c>
      <c r="G122" s="128">
        <f t="shared" si="193"/>
        <v>43410</v>
      </c>
      <c r="H122" s="128">
        <f t="shared" si="193"/>
        <v>43410</v>
      </c>
      <c r="I122" s="128">
        <f t="shared" si="193"/>
        <v>43410</v>
      </c>
      <c r="J122" s="128">
        <f t="shared" si="193"/>
        <v>43410</v>
      </c>
      <c r="K122" s="128">
        <f t="shared" si="193"/>
        <v>43410</v>
      </c>
      <c r="L122" s="128">
        <f t="shared" si="193"/>
        <v>43410</v>
      </c>
      <c r="M122" s="128">
        <f t="shared" si="193"/>
        <v>43410</v>
      </c>
      <c r="N122" s="128">
        <f t="shared" si="193"/>
        <v>43410</v>
      </c>
      <c r="O122" s="128">
        <f t="shared" si="193"/>
        <v>43410</v>
      </c>
      <c r="P122" s="128">
        <f t="shared" si="193"/>
        <v>43410</v>
      </c>
      <c r="Q122" s="128">
        <f t="shared" si="193"/>
        <v>43410</v>
      </c>
      <c r="R122" s="77">
        <f t="shared" si="193"/>
        <v>43410</v>
      </c>
    </row>
    <row r="123" spans="1:18" hidden="1" outlineLevel="1" x14ac:dyDescent="0.25">
      <c r="A123" s="36"/>
      <c r="B123" s="128" t="s">
        <v>148</v>
      </c>
      <c r="C123" s="128"/>
      <c r="D123" s="131">
        <f>IFERROR(D121/_xlfn.DAYS(D117,C119),0)</f>
        <v>81.25</v>
      </c>
      <c r="E123" s="131">
        <f t="shared" ref="E123:R123" si="194">IFERROR(E121/_xlfn.DAYS(E117,D119),0)</f>
        <v>0</v>
      </c>
      <c r="F123" s="131">
        <f t="shared" si="194"/>
        <v>0</v>
      </c>
      <c r="G123" s="131">
        <f t="shared" si="194"/>
        <v>0</v>
      </c>
      <c r="H123" s="131">
        <f t="shared" si="194"/>
        <v>0</v>
      </c>
      <c r="I123" s="131">
        <f t="shared" si="194"/>
        <v>0</v>
      </c>
      <c r="J123" s="131">
        <f t="shared" si="194"/>
        <v>0</v>
      </c>
      <c r="K123" s="131">
        <f t="shared" si="194"/>
        <v>0</v>
      </c>
      <c r="L123" s="131">
        <f t="shared" si="194"/>
        <v>0</v>
      </c>
      <c r="M123" s="131">
        <f t="shared" si="194"/>
        <v>0</v>
      </c>
      <c r="N123" s="131">
        <f t="shared" si="194"/>
        <v>0</v>
      </c>
      <c r="O123" s="131">
        <f t="shared" si="194"/>
        <v>0</v>
      </c>
      <c r="P123" s="131">
        <f t="shared" si="194"/>
        <v>0</v>
      </c>
      <c r="Q123" s="131">
        <f t="shared" si="194"/>
        <v>0</v>
      </c>
      <c r="R123" s="132">
        <f t="shared" si="194"/>
        <v>0</v>
      </c>
    </row>
    <row r="124" spans="1:18" ht="15.75" hidden="1" outlineLevel="1" thickBot="1" x14ac:dyDescent="0.3">
      <c r="A124" s="40"/>
      <c r="B124" s="133" t="s">
        <v>150</v>
      </c>
      <c r="C124" s="133">
        <f>C121/1000</f>
        <v>1</v>
      </c>
      <c r="D124" s="133">
        <f>SUM($C$13:D121)/1000</f>
        <v>2226.1714048983872</v>
      </c>
      <c r="E124" s="133">
        <f>SUM($C$13:E121)/1000</f>
        <v>2762.2393239483731</v>
      </c>
      <c r="F124" s="133">
        <f>SUM($C$13:F121)/1000</f>
        <v>3301.2324426076211</v>
      </c>
      <c r="G124" s="133">
        <f>SUM($C$13:G121)/1000</f>
        <v>3843.1604680729279</v>
      </c>
      <c r="H124" s="133">
        <f>SUM($C$13:H121)/1000</f>
        <v>4388.0331293149347</v>
      </c>
      <c r="I124" s="133">
        <f>SUM($C$13:I121)/1000</f>
        <v>4935.8601771128779</v>
      </c>
      <c r="J124" s="133">
        <f>SUM($C$13:J121)/1000</f>
        <v>5486.6513840893913</v>
      </c>
      <c r="K124" s="133">
        <f>SUM($C$13:K121)/1000</f>
        <v>6040.4165447453388</v>
      </c>
      <c r="L124" s="133">
        <f>SUM($C$13:L121)/1000</f>
        <v>6597.1654754946876</v>
      </c>
      <c r="M124" s="133">
        <f>SUM($C$13:M121)/1000</f>
        <v>7156.908014699432</v>
      </c>
      <c r="N124" s="133">
        <f>SUM($C$13:N121)/1000</f>
        <v>7719.6540227045425</v>
      </c>
      <c r="O124" s="133">
        <f>SUM($C$13:O121)/1000</f>
        <v>8285.4133818729752</v>
      </c>
      <c r="P124" s="133">
        <f>SUM($C$13:P121)/1000</f>
        <v>8854.1959966206923</v>
      </c>
      <c r="Q124" s="133">
        <f>SUM($C$13:Q121)/1000</f>
        <v>9426.0117934517621</v>
      </c>
      <c r="R124" s="78">
        <f>SUM($C$13:R121)/1000</f>
        <v>10000.870720993475</v>
      </c>
    </row>
    <row r="125" spans="1:18" ht="15.75" collapsed="1" thickBot="1" x14ac:dyDescent="0.3"/>
    <row r="126" spans="1:18" ht="15.75" thickBot="1" x14ac:dyDescent="0.3">
      <c r="A126" s="134" t="s">
        <v>167</v>
      </c>
      <c r="B126" s="125" t="s">
        <v>142</v>
      </c>
      <c r="C126" s="126">
        <v>43392</v>
      </c>
      <c r="D126" s="126">
        <v>43409</v>
      </c>
      <c r="E126" s="126"/>
      <c r="F126" s="126"/>
      <c r="G126" s="126"/>
      <c r="H126" s="126"/>
      <c r="I126" s="126"/>
      <c r="J126" s="126"/>
      <c r="K126" s="126"/>
      <c r="L126" s="126"/>
      <c r="M126" s="126"/>
      <c r="N126" s="126"/>
      <c r="O126" s="126"/>
      <c r="P126" s="126"/>
      <c r="Q126" s="126"/>
      <c r="R126" s="127"/>
    </row>
    <row r="127" spans="1:18" hidden="1" outlineLevel="1" x14ac:dyDescent="0.25">
      <c r="A127" s="36"/>
      <c r="B127" s="128" t="s">
        <v>143</v>
      </c>
      <c r="C127" s="121">
        <v>2500</v>
      </c>
      <c r="D127" s="121">
        <v>2800</v>
      </c>
      <c r="E127" s="121"/>
      <c r="F127" s="121"/>
      <c r="G127" s="121"/>
      <c r="H127" s="121"/>
      <c r="I127" s="121"/>
      <c r="J127" s="121"/>
      <c r="K127" s="121"/>
      <c r="L127" s="121"/>
      <c r="M127" s="121"/>
      <c r="N127" s="121"/>
      <c r="O127" s="121"/>
      <c r="P127" s="121"/>
      <c r="Q127" s="121"/>
      <c r="R127" s="129"/>
    </row>
    <row r="128" spans="1:18" hidden="1" outlineLevel="1" x14ac:dyDescent="0.25">
      <c r="A128" s="36"/>
      <c r="B128" s="128" t="s">
        <v>144</v>
      </c>
      <c r="C128" s="124">
        <v>43393</v>
      </c>
      <c r="D128" s="124">
        <v>43410</v>
      </c>
      <c r="E128" s="124"/>
      <c r="F128" s="124"/>
      <c r="G128" s="124"/>
      <c r="H128" s="124"/>
      <c r="I128" s="124"/>
      <c r="J128" s="124"/>
      <c r="K128" s="124"/>
      <c r="L128" s="124"/>
      <c r="M128" s="124"/>
      <c r="N128" s="124"/>
      <c r="O128" s="124"/>
      <c r="P128" s="124"/>
      <c r="Q128" s="124"/>
      <c r="R128" s="130"/>
    </row>
    <row r="129" spans="1:18" hidden="1" outlineLevel="1" x14ac:dyDescent="0.25">
      <c r="A129" s="36"/>
      <c r="B129" s="128" t="s">
        <v>145</v>
      </c>
      <c r="C129" s="121">
        <v>1500</v>
      </c>
      <c r="D129" s="121">
        <v>1500</v>
      </c>
      <c r="E129" s="121"/>
      <c r="F129" s="121"/>
      <c r="G129" s="121"/>
      <c r="H129" s="121"/>
      <c r="I129" s="121"/>
      <c r="J129" s="121"/>
      <c r="K129" s="121"/>
      <c r="L129" s="121"/>
      <c r="M129" s="121"/>
      <c r="N129" s="121"/>
      <c r="O129" s="121"/>
      <c r="P129" s="121"/>
      <c r="Q129" s="121"/>
      <c r="R129" s="129"/>
    </row>
    <row r="130" spans="1:18" hidden="1" outlineLevel="1" x14ac:dyDescent="0.25">
      <c r="A130" s="36"/>
      <c r="B130" s="128" t="s">
        <v>146</v>
      </c>
      <c r="C130" s="128">
        <f>C127-C129</f>
        <v>1000</v>
      </c>
      <c r="D130" s="128">
        <f>D127-D129</f>
        <v>1300</v>
      </c>
      <c r="E130" s="128">
        <f t="shared" ref="E130" si="195">E127-E129</f>
        <v>0</v>
      </c>
      <c r="F130" s="128">
        <f t="shared" ref="F130" si="196">F127-F129</f>
        <v>0</v>
      </c>
      <c r="G130" s="128">
        <f t="shared" ref="G130" si="197">G127-G129</f>
        <v>0</v>
      </c>
      <c r="H130" s="128">
        <f t="shared" ref="H130" si="198">H127-H129</f>
        <v>0</v>
      </c>
      <c r="I130" s="128">
        <f t="shared" ref="I130" si="199">I127-I129</f>
        <v>0</v>
      </c>
      <c r="J130" s="128">
        <f t="shared" ref="J130" si="200">J127-J129</f>
        <v>0</v>
      </c>
      <c r="K130" s="128">
        <f t="shared" ref="K130" si="201">K127-K129</f>
        <v>0</v>
      </c>
      <c r="L130" s="128">
        <f t="shared" ref="L130" si="202">L127-L129</f>
        <v>0</v>
      </c>
      <c r="M130" s="128">
        <f t="shared" ref="M130" si="203">M127-M129</f>
        <v>0</v>
      </c>
      <c r="N130" s="128">
        <f t="shared" ref="N130" si="204">N127-N129</f>
        <v>0</v>
      </c>
      <c r="O130" s="128">
        <f t="shared" ref="O130" si="205">O127-O129</f>
        <v>0</v>
      </c>
      <c r="P130" s="128">
        <f t="shared" ref="P130" si="206">P127-P129</f>
        <v>0</v>
      </c>
      <c r="Q130" s="128">
        <f t="shared" ref="Q130" si="207">Q127-Q129</f>
        <v>0</v>
      </c>
      <c r="R130" s="77">
        <f t="shared" ref="R130" si="208">R127-R129</f>
        <v>0</v>
      </c>
    </row>
    <row r="131" spans="1:18" hidden="1" outlineLevel="1" x14ac:dyDescent="0.25">
      <c r="A131" s="36"/>
      <c r="B131" s="128" t="s">
        <v>147</v>
      </c>
      <c r="C131" s="128">
        <f t="shared" ref="C131:R131" si="209">_xlfn.DAYS($B$4,C128)</f>
        <v>17</v>
      </c>
      <c r="D131" s="128">
        <f t="shared" si="209"/>
        <v>0</v>
      </c>
      <c r="E131" s="128">
        <f t="shared" si="209"/>
        <v>43410</v>
      </c>
      <c r="F131" s="128">
        <f t="shared" si="209"/>
        <v>43410</v>
      </c>
      <c r="G131" s="128">
        <f t="shared" si="209"/>
        <v>43410</v>
      </c>
      <c r="H131" s="128">
        <f t="shared" si="209"/>
        <v>43410</v>
      </c>
      <c r="I131" s="128">
        <f t="shared" si="209"/>
        <v>43410</v>
      </c>
      <c r="J131" s="128">
        <f t="shared" si="209"/>
        <v>43410</v>
      </c>
      <c r="K131" s="128">
        <f t="shared" si="209"/>
        <v>43410</v>
      </c>
      <c r="L131" s="128">
        <f t="shared" si="209"/>
        <v>43410</v>
      </c>
      <c r="M131" s="128">
        <f t="shared" si="209"/>
        <v>43410</v>
      </c>
      <c r="N131" s="128">
        <f t="shared" si="209"/>
        <v>43410</v>
      </c>
      <c r="O131" s="128">
        <f t="shared" si="209"/>
        <v>43410</v>
      </c>
      <c r="P131" s="128">
        <f t="shared" si="209"/>
        <v>43410</v>
      </c>
      <c r="Q131" s="128">
        <f t="shared" si="209"/>
        <v>43410</v>
      </c>
      <c r="R131" s="77">
        <f t="shared" si="209"/>
        <v>43410</v>
      </c>
    </row>
    <row r="132" spans="1:18" hidden="1" outlineLevel="1" x14ac:dyDescent="0.25">
      <c r="A132" s="36"/>
      <c r="B132" s="128" t="s">
        <v>148</v>
      </c>
      <c r="C132" s="128"/>
      <c r="D132" s="131">
        <f>IFERROR(D130/_xlfn.DAYS(D126,C128),0)</f>
        <v>81.25</v>
      </c>
      <c r="E132" s="131">
        <f t="shared" ref="E132:R132" si="210">IFERROR(E130/_xlfn.DAYS(E126,D128),0)</f>
        <v>0</v>
      </c>
      <c r="F132" s="131">
        <f t="shared" si="210"/>
        <v>0</v>
      </c>
      <c r="G132" s="131">
        <f t="shared" si="210"/>
        <v>0</v>
      </c>
      <c r="H132" s="131">
        <f t="shared" si="210"/>
        <v>0</v>
      </c>
      <c r="I132" s="131">
        <f t="shared" si="210"/>
        <v>0</v>
      </c>
      <c r="J132" s="131">
        <f t="shared" si="210"/>
        <v>0</v>
      </c>
      <c r="K132" s="131">
        <f t="shared" si="210"/>
        <v>0</v>
      </c>
      <c r="L132" s="131">
        <f t="shared" si="210"/>
        <v>0</v>
      </c>
      <c r="M132" s="131">
        <f t="shared" si="210"/>
        <v>0</v>
      </c>
      <c r="N132" s="131">
        <f t="shared" si="210"/>
        <v>0</v>
      </c>
      <c r="O132" s="131">
        <f t="shared" si="210"/>
        <v>0</v>
      </c>
      <c r="P132" s="131">
        <f t="shared" si="210"/>
        <v>0</v>
      </c>
      <c r="Q132" s="131">
        <f t="shared" si="210"/>
        <v>0</v>
      </c>
      <c r="R132" s="132">
        <f t="shared" si="210"/>
        <v>0</v>
      </c>
    </row>
    <row r="133" spans="1:18" ht="15.75" hidden="1" outlineLevel="1" thickBot="1" x14ac:dyDescent="0.3">
      <c r="A133" s="40"/>
      <c r="B133" s="133" t="s">
        <v>150</v>
      </c>
      <c r="C133" s="133">
        <f>C130/1000</f>
        <v>1</v>
      </c>
      <c r="D133" s="133">
        <f>SUM($C$13:D130)/1000</f>
        <v>2412.7008263032853</v>
      </c>
      <c r="E133" s="133">
        <f>SUM($C$13:E130)/1000</f>
        <v>2994.9409846772196</v>
      </c>
      <c r="F133" s="133">
        <f>SUM($C$13:F130)/1000</f>
        <v>3580.6453357790756</v>
      </c>
      <c r="G133" s="133">
        <f>SUM($C$13:G130)/1000</f>
        <v>4169.8265217124554</v>
      </c>
      <c r="H133" s="133">
        <f>SUM($C$13:H130)/1000</f>
        <v>4762.497216083776</v>
      </c>
      <c r="I133" s="133">
        <f>SUM($C$13:I130)/1000</f>
        <v>5358.6701240588327</v>
      </c>
      <c r="J133" s="133">
        <f>SUM($C$13:J130)/1000</f>
        <v>5958.3579824194348</v>
      </c>
      <c r="K133" s="133">
        <f>SUM($C$13:K130)/1000</f>
        <v>6561.5735596201284</v>
      </c>
      <c r="L133" s="133">
        <f>SUM($C$13:L130)/1000</f>
        <v>7168.3296558449711</v>
      </c>
      <c r="M133" s="133">
        <f>SUM($C$13:M130)/1000</f>
        <v>7778.6391030644154</v>
      </c>
      <c r="N133" s="133">
        <f>SUM($C$13:N130)/1000</f>
        <v>8392.5147650922318</v>
      </c>
      <c r="O133" s="133">
        <f>SUM($C$13:O130)/1000</f>
        <v>9009.969537642537</v>
      </c>
      <c r="P133" s="133">
        <f>SUM($C$13:P130)/1000</f>
        <v>9631.0163483868764</v>
      </c>
      <c r="Q133" s="133">
        <f>SUM($C$13:Q130)/1000</f>
        <v>10255.668157011396</v>
      </c>
      <c r="R133" s="78">
        <f>SUM($C$13:R130)/1000</f>
        <v>10883.937955274103</v>
      </c>
    </row>
    <row r="134" spans="1:18" ht="15.75" collapsed="1" thickBot="1" x14ac:dyDescent="0.3"/>
    <row r="135" spans="1:18" ht="15.75" thickBot="1" x14ac:dyDescent="0.3">
      <c r="A135" s="134" t="s">
        <v>167</v>
      </c>
      <c r="B135" s="125" t="s">
        <v>142</v>
      </c>
      <c r="C135" s="126">
        <v>43392</v>
      </c>
      <c r="D135" s="126">
        <v>43409</v>
      </c>
      <c r="E135" s="126"/>
      <c r="F135" s="126"/>
      <c r="G135" s="126"/>
      <c r="H135" s="126"/>
      <c r="I135" s="126"/>
      <c r="J135" s="126"/>
      <c r="K135" s="126"/>
      <c r="L135" s="126"/>
      <c r="M135" s="126"/>
      <c r="N135" s="126"/>
      <c r="O135" s="126"/>
      <c r="P135" s="126"/>
      <c r="Q135" s="126"/>
      <c r="R135" s="127"/>
    </row>
    <row r="136" spans="1:18" hidden="1" outlineLevel="1" x14ac:dyDescent="0.25">
      <c r="A136" s="36"/>
      <c r="B136" s="128" t="s">
        <v>143</v>
      </c>
      <c r="C136" s="121">
        <v>2500</v>
      </c>
      <c r="D136" s="121">
        <v>2800</v>
      </c>
      <c r="E136" s="121"/>
      <c r="F136" s="121"/>
      <c r="G136" s="121"/>
      <c r="H136" s="121"/>
      <c r="I136" s="121"/>
      <c r="J136" s="121"/>
      <c r="K136" s="121"/>
      <c r="L136" s="121"/>
      <c r="M136" s="121"/>
      <c r="N136" s="121"/>
      <c r="O136" s="121"/>
      <c r="P136" s="121"/>
      <c r="Q136" s="121"/>
      <c r="R136" s="129"/>
    </row>
    <row r="137" spans="1:18" hidden="1" outlineLevel="1" x14ac:dyDescent="0.25">
      <c r="A137" s="36"/>
      <c r="B137" s="128" t="s">
        <v>144</v>
      </c>
      <c r="C137" s="124">
        <v>43393</v>
      </c>
      <c r="D137" s="124">
        <v>43410</v>
      </c>
      <c r="E137" s="124"/>
      <c r="F137" s="124"/>
      <c r="G137" s="124"/>
      <c r="H137" s="124"/>
      <c r="I137" s="124"/>
      <c r="J137" s="124"/>
      <c r="K137" s="124"/>
      <c r="L137" s="124"/>
      <c r="M137" s="124"/>
      <c r="N137" s="124"/>
      <c r="O137" s="124"/>
      <c r="P137" s="124"/>
      <c r="Q137" s="124"/>
      <c r="R137" s="130"/>
    </row>
    <row r="138" spans="1:18" hidden="1" outlineLevel="1" x14ac:dyDescent="0.25">
      <c r="A138" s="36"/>
      <c r="B138" s="128" t="s">
        <v>145</v>
      </c>
      <c r="C138" s="121">
        <v>1500</v>
      </c>
      <c r="D138" s="121">
        <v>1500</v>
      </c>
      <c r="E138" s="121"/>
      <c r="F138" s="121"/>
      <c r="G138" s="121"/>
      <c r="H138" s="121"/>
      <c r="I138" s="121"/>
      <c r="J138" s="121"/>
      <c r="K138" s="121"/>
      <c r="L138" s="121"/>
      <c r="M138" s="121"/>
      <c r="N138" s="121"/>
      <c r="O138" s="121"/>
      <c r="P138" s="121"/>
      <c r="Q138" s="121"/>
      <c r="R138" s="129"/>
    </row>
    <row r="139" spans="1:18" hidden="1" outlineLevel="1" x14ac:dyDescent="0.25">
      <c r="A139" s="36"/>
      <c r="B139" s="128" t="s">
        <v>146</v>
      </c>
      <c r="C139" s="128">
        <f>C136-C138</f>
        <v>1000</v>
      </c>
      <c r="D139" s="128">
        <f>D136-D138</f>
        <v>1300</v>
      </c>
      <c r="E139" s="128">
        <f t="shared" ref="E139" si="211">E136-E138</f>
        <v>0</v>
      </c>
      <c r="F139" s="128">
        <f t="shared" ref="F139" si="212">F136-F138</f>
        <v>0</v>
      </c>
      <c r="G139" s="128">
        <f t="shared" ref="G139" si="213">G136-G138</f>
        <v>0</v>
      </c>
      <c r="H139" s="128">
        <f t="shared" ref="H139" si="214">H136-H138</f>
        <v>0</v>
      </c>
      <c r="I139" s="128">
        <f t="shared" ref="I139" si="215">I136-I138</f>
        <v>0</v>
      </c>
      <c r="J139" s="128">
        <f t="shared" ref="J139" si="216">J136-J138</f>
        <v>0</v>
      </c>
      <c r="K139" s="128">
        <f t="shared" ref="K139" si="217">K136-K138</f>
        <v>0</v>
      </c>
      <c r="L139" s="128">
        <f t="shared" ref="L139" si="218">L136-L138</f>
        <v>0</v>
      </c>
      <c r="M139" s="128">
        <f t="shared" ref="M139" si="219">M136-M138</f>
        <v>0</v>
      </c>
      <c r="N139" s="128">
        <f t="shared" ref="N139" si="220">N136-N138</f>
        <v>0</v>
      </c>
      <c r="O139" s="128">
        <f t="shared" ref="O139" si="221">O136-O138</f>
        <v>0</v>
      </c>
      <c r="P139" s="128">
        <f t="shared" ref="P139" si="222">P136-P138</f>
        <v>0</v>
      </c>
      <c r="Q139" s="128">
        <f t="shared" ref="Q139" si="223">Q136-Q138</f>
        <v>0</v>
      </c>
      <c r="R139" s="77">
        <f t="shared" ref="R139" si="224">R136-R138</f>
        <v>0</v>
      </c>
    </row>
    <row r="140" spans="1:18" hidden="1" outlineLevel="1" x14ac:dyDescent="0.25">
      <c r="A140" s="36"/>
      <c r="B140" s="128" t="s">
        <v>147</v>
      </c>
      <c r="C140" s="128">
        <f t="shared" ref="C140:R140" si="225">_xlfn.DAYS($B$4,C137)</f>
        <v>17</v>
      </c>
      <c r="D140" s="128">
        <f t="shared" si="225"/>
        <v>0</v>
      </c>
      <c r="E140" s="128">
        <f t="shared" si="225"/>
        <v>43410</v>
      </c>
      <c r="F140" s="128">
        <f t="shared" si="225"/>
        <v>43410</v>
      </c>
      <c r="G140" s="128">
        <f t="shared" si="225"/>
        <v>43410</v>
      </c>
      <c r="H140" s="128">
        <f t="shared" si="225"/>
        <v>43410</v>
      </c>
      <c r="I140" s="128">
        <f t="shared" si="225"/>
        <v>43410</v>
      </c>
      <c r="J140" s="128">
        <f t="shared" si="225"/>
        <v>43410</v>
      </c>
      <c r="K140" s="128">
        <f t="shared" si="225"/>
        <v>43410</v>
      </c>
      <c r="L140" s="128">
        <f t="shared" si="225"/>
        <v>43410</v>
      </c>
      <c r="M140" s="128">
        <f t="shared" si="225"/>
        <v>43410</v>
      </c>
      <c r="N140" s="128">
        <f t="shared" si="225"/>
        <v>43410</v>
      </c>
      <c r="O140" s="128">
        <f t="shared" si="225"/>
        <v>43410</v>
      </c>
      <c r="P140" s="128">
        <f t="shared" si="225"/>
        <v>43410</v>
      </c>
      <c r="Q140" s="128">
        <f t="shared" si="225"/>
        <v>43410</v>
      </c>
      <c r="R140" s="77">
        <f t="shared" si="225"/>
        <v>43410</v>
      </c>
    </row>
    <row r="141" spans="1:18" hidden="1" outlineLevel="1" x14ac:dyDescent="0.25">
      <c r="A141" s="36"/>
      <c r="B141" s="128" t="s">
        <v>148</v>
      </c>
      <c r="C141" s="128"/>
      <c r="D141" s="131">
        <f>IFERROR(D139/_xlfn.DAYS(D135,C137),0)</f>
        <v>81.25</v>
      </c>
      <c r="E141" s="131">
        <f t="shared" ref="E141:R141" si="226">IFERROR(E139/_xlfn.DAYS(E135,D137),0)</f>
        <v>0</v>
      </c>
      <c r="F141" s="131">
        <f t="shared" si="226"/>
        <v>0</v>
      </c>
      <c r="G141" s="131">
        <f t="shared" si="226"/>
        <v>0</v>
      </c>
      <c r="H141" s="131">
        <f t="shared" si="226"/>
        <v>0</v>
      </c>
      <c r="I141" s="131">
        <f t="shared" si="226"/>
        <v>0</v>
      </c>
      <c r="J141" s="131">
        <f t="shared" si="226"/>
        <v>0</v>
      </c>
      <c r="K141" s="131">
        <f t="shared" si="226"/>
        <v>0</v>
      </c>
      <c r="L141" s="131">
        <f t="shared" si="226"/>
        <v>0</v>
      </c>
      <c r="M141" s="131">
        <f t="shared" si="226"/>
        <v>0</v>
      </c>
      <c r="N141" s="131">
        <f t="shared" si="226"/>
        <v>0</v>
      </c>
      <c r="O141" s="131">
        <f t="shared" si="226"/>
        <v>0</v>
      </c>
      <c r="P141" s="131">
        <f t="shared" si="226"/>
        <v>0</v>
      </c>
      <c r="Q141" s="131">
        <f t="shared" si="226"/>
        <v>0</v>
      </c>
      <c r="R141" s="132">
        <f t="shared" si="226"/>
        <v>0</v>
      </c>
    </row>
    <row r="142" spans="1:18" ht="15.75" hidden="1" outlineLevel="1" thickBot="1" x14ac:dyDescent="0.3">
      <c r="A142" s="40"/>
      <c r="B142" s="133" t="s">
        <v>150</v>
      </c>
      <c r="C142" s="133">
        <f>C139/1000</f>
        <v>1</v>
      </c>
      <c r="D142" s="133">
        <f>SUM($C$13:D139)/1000</f>
        <v>2599.4167771295888</v>
      </c>
      <c r="E142" s="133">
        <f>SUM($C$13:E139)/1000</f>
        <v>3228.0618764882001</v>
      </c>
      <c r="F142" s="133">
        <f>SUM($C$13:F139)/1000</f>
        <v>3860.7568729258346</v>
      </c>
      <c r="G142" s="133">
        <f>SUM($C$13:G139)/1000</f>
        <v>4497.5178853809284</v>
      </c>
      <c r="H142" s="133">
        <f>SUM($C$13:H139)/1000</f>
        <v>5138.3610769683328</v>
      </c>
      <c r="I142" s="133">
        <f>SUM($C$13:I139)/1000</f>
        <v>5783.3026550674476</v>
      </c>
      <c r="J142" s="133">
        <f>SUM($C$13:J139)/1000</f>
        <v>6432.3588714104699</v>
      </c>
      <c r="K142" s="133">
        <f>SUM($C$13:K139)/1000</f>
        <v>7085.5460221707826</v>
      </c>
      <c r="L142" s="133">
        <f>SUM($C$13:L139)/1000</f>
        <v>7742.88044805147</v>
      </c>
      <c r="M142" s="133">
        <f>SUM($C$13:M139)/1000</f>
        <v>8404.3785343739801</v>
      </c>
      <c r="N142" s="133">
        <f>SUM($C$13:N139)/1000</f>
        <v>9070.0567111668879</v>
      </c>
      <c r="O142" s="133">
        <f>SUM($C$13:O139)/1000</f>
        <v>9739.931453254836</v>
      </c>
      <c r="P142" s="133">
        <f>SUM($C$13:P139)/1000</f>
        <v>10414.019280347562</v>
      </c>
      <c r="Q142" s="133">
        <f>SUM($C$13:Q139)/1000</f>
        <v>11092.336757129091</v>
      </c>
      <c r="R142" s="78">
        <f>SUM($C$13:R139)/1000</f>
        <v>11774.900493347073</v>
      </c>
    </row>
    <row r="143" spans="1:18" ht="15.75" collapsed="1" thickBot="1" x14ac:dyDescent="0.3"/>
    <row r="144" spans="1:18" ht="15.75" thickBot="1" x14ac:dyDescent="0.3">
      <c r="A144" s="134" t="s">
        <v>167</v>
      </c>
      <c r="B144" s="125" t="s">
        <v>142</v>
      </c>
      <c r="C144" s="126">
        <v>43392</v>
      </c>
      <c r="D144" s="126">
        <v>43409</v>
      </c>
      <c r="E144" s="126"/>
      <c r="F144" s="126"/>
      <c r="G144" s="126"/>
      <c r="H144" s="126"/>
      <c r="I144" s="126"/>
      <c r="J144" s="126"/>
      <c r="K144" s="126"/>
      <c r="L144" s="126"/>
      <c r="M144" s="126"/>
      <c r="N144" s="126"/>
      <c r="O144" s="126"/>
      <c r="P144" s="126"/>
      <c r="Q144" s="126"/>
      <c r="R144" s="127"/>
    </row>
    <row r="145" spans="1:18" hidden="1" outlineLevel="1" x14ac:dyDescent="0.25">
      <c r="A145" s="36"/>
      <c r="B145" s="128" t="s">
        <v>143</v>
      </c>
      <c r="C145" s="121">
        <v>2500</v>
      </c>
      <c r="D145" s="121">
        <v>2800</v>
      </c>
      <c r="E145" s="121"/>
      <c r="F145" s="121"/>
      <c r="G145" s="121"/>
      <c r="H145" s="121"/>
      <c r="I145" s="121"/>
      <c r="J145" s="121"/>
      <c r="K145" s="121"/>
      <c r="L145" s="121"/>
      <c r="M145" s="121"/>
      <c r="N145" s="121"/>
      <c r="O145" s="121"/>
      <c r="P145" s="121"/>
      <c r="Q145" s="121"/>
      <c r="R145" s="129"/>
    </row>
    <row r="146" spans="1:18" hidden="1" outlineLevel="1" x14ac:dyDescent="0.25">
      <c r="A146" s="36"/>
      <c r="B146" s="128" t="s">
        <v>144</v>
      </c>
      <c r="C146" s="124">
        <v>43393</v>
      </c>
      <c r="D146" s="124">
        <v>43410</v>
      </c>
      <c r="E146" s="124"/>
      <c r="F146" s="124"/>
      <c r="G146" s="124"/>
      <c r="H146" s="124"/>
      <c r="I146" s="124"/>
      <c r="J146" s="124"/>
      <c r="K146" s="124"/>
      <c r="L146" s="124"/>
      <c r="M146" s="124"/>
      <c r="N146" s="124"/>
      <c r="O146" s="124"/>
      <c r="P146" s="124"/>
      <c r="Q146" s="124"/>
      <c r="R146" s="130"/>
    </row>
    <row r="147" spans="1:18" hidden="1" outlineLevel="1" x14ac:dyDescent="0.25">
      <c r="A147" s="36"/>
      <c r="B147" s="128" t="s">
        <v>145</v>
      </c>
      <c r="C147" s="121">
        <v>1500</v>
      </c>
      <c r="D147" s="121">
        <v>1500</v>
      </c>
      <c r="E147" s="121"/>
      <c r="F147" s="121"/>
      <c r="G147" s="121"/>
      <c r="H147" s="121"/>
      <c r="I147" s="121"/>
      <c r="J147" s="121"/>
      <c r="K147" s="121"/>
      <c r="L147" s="121"/>
      <c r="M147" s="121"/>
      <c r="N147" s="121"/>
      <c r="O147" s="121"/>
      <c r="P147" s="121"/>
      <c r="Q147" s="121"/>
      <c r="R147" s="129"/>
    </row>
    <row r="148" spans="1:18" hidden="1" outlineLevel="1" x14ac:dyDescent="0.25">
      <c r="A148" s="36"/>
      <c r="B148" s="128" t="s">
        <v>146</v>
      </c>
      <c r="C148" s="128">
        <f>C145-C147</f>
        <v>1000</v>
      </c>
      <c r="D148" s="128">
        <f>D145-D147</f>
        <v>1300</v>
      </c>
      <c r="E148" s="128">
        <f t="shared" ref="E148" si="227">E145-E147</f>
        <v>0</v>
      </c>
      <c r="F148" s="128">
        <f t="shared" ref="F148" si="228">F145-F147</f>
        <v>0</v>
      </c>
      <c r="G148" s="128">
        <f t="shared" ref="G148" si="229">G145-G147</f>
        <v>0</v>
      </c>
      <c r="H148" s="128">
        <f t="shared" ref="H148" si="230">H145-H147</f>
        <v>0</v>
      </c>
      <c r="I148" s="128">
        <f t="shared" ref="I148" si="231">I145-I147</f>
        <v>0</v>
      </c>
      <c r="J148" s="128">
        <f t="shared" ref="J148" si="232">J145-J147</f>
        <v>0</v>
      </c>
      <c r="K148" s="128">
        <f t="shared" ref="K148" si="233">K145-K147</f>
        <v>0</v>
      </c>
      <c r="L148" s="128">
        <f t="shared" ref="L148" si="234">L145-L147</f>
        <v>0</v>
      </c>
      <c r="M148" s="128">
        <f t="shared" ref="M148" si="235">M145-M147</f>
        <v>0</v>
      </c>
      <c r="N148" s="128">
        <f t="shared" ref="N148" si="236">N145-N147</f>
        <v>0</v>
      </c>
      <c r="O148" s="128">
        <f t="shared" ref="O148" si="237">O145-O147</f>
        <v>0</v>
      </c>
      <c r="P148" s="128">
        <f t="shared" ref="P148" si="238">P145-P147</f>
        <v>0</v>
      </c>
      <c r="Q148" s="128">
        <f t="shared" ref="Q148" si="239">Q145-Q147</f>
        <v>0</v>
      </c>
      <c r="R148" s="77">
        <f t="shared" ref="R148" si="240">R145-R147</f>
        <v>0</v>
      </c>
    </row>
    <row r="149" spans="1:18" hidden="1" outlineLevel="1" x14ac:dyDescent="0.25">
      <c r="A149" s="36"/>
      <c r="B149" s="128" t="s">
        <v>147</v>
      </c>
      <c r="C149" s="128">
        <f t="shared" ref="C149:R149" si="241">_xlfn.DAYS($B$4,C146)</f>
        <v>17</v>
      </c>
      <c r="D149" s="128">
        <f t="shared" si="241"/>
        <v>0</v>
      </c>
      <c r="E149" s="128">
        <f t="shared" si="241"/>
        <v>43410</v>
      </c>
      <c r="F149" s="128">
        <f t="shared" si="241"/>
        <v>43410</v>
      </c>
      <c r="G149" s="128">
        <f t="shared" si="241"/>
        <v>43410</v>
      </c>
      <c r="H149" s="128">
        <f t="shared" si="241"/>
        <v>43410</v>
      </c>
      <c r="I149" s="128">
        <f t="shared" si="241"/>
        <v>43410</v>
      </c>
      <c r="J149" s="128">
        <f t="shared" si="241"/>
        <v>43410</v>
      </c>
      <c r="K149" s="128">
        <f t="shared" si="241"/>
        <v>43410</v>
      </c>
      <c r="L149" s="128">
        <f t="shared" si="241"/>
        <v>43410</v>
      </c>
      <c r="M149" s="128">
        <f t="shared" si="241"/>
        <v>43410</v>
      </c>
      <c r="N149" s="128">
        <f t="shared" si="241"/>
        <v>43410</v>
      </c>
      <c r="O149" s="128">
        <f t="shared" si="241"/>
        <v>43410</v>
      </c>
      <c r="P149" s="128">
        <f t="shared" si="241"/>
        <v>43410</v>
      </c>
      <c r="Q149" s="128">
        <f t="shared" si="241"/>
        <v>43410</v>
      </c>
      <c r="R149" s="77">
        <f t="shared" si="241"/>
        <v>43410</v>
      </c>
    </row>
    <row r="150" spans="1:18" hidden="1" outlineLevel="1" x14ac:dyDescent="0.25">
      <c r="A150" s="36"/>
      <c r="B150" s="128" t="s">
        <v>148</v>
      </c>
      <c r="C150" s="128"/>
      <c r="D150" s="131">
        <f>IFERROR(D148/_xlfn.DAYS(D144,C146),0)</f>
        <v>81.25</v>
      </c>
      <c r="E150" s="131">
        <f t="shared" ref="E150:R150" si="242">IFERROR(E148/_xlfn.DAYS(E144,D146),0)</f>
        <v>0</v>
      </c>
      <c r="F150" s="131">
        <f t="shared" si="242"/>
        <v>0</v>
      </c>
      <c r="G150" s="131">
        <f t="shared" si="242"/>
        <v>0</v>
      </c>
      <c r="H150" s="131">
        <f t="shared" si="242"/>
        <v>0</v>
      </c>
      <c r="I150" s="131">
        <f t="shared" si="242"/>
        <v>0</v>
      </c>
      <c r="J150" s="131">
        <f t="shared" si="242"/>
        <v>0</v>
      </c>
      <c r="K150" s="131">
        <f t="shared" si="242"/>
        <v>0</v>
      </c>
      <c r="L150" s="131">
        <f t="shared" si="242"/>
        <v>0</v>
      </c>
      <c r="M150" s="131">
        <f t="shared" si="242"/>
        <v>0</v>
      </c>
      <c r="N150" s="131">
        <f t="shared" si="242"/>
        <v>0</v>
      </c>
      <c r="O150" s="131">
        <f t="shared" si="242"/>
        <v>0</v>
      </c>
      <c r="P150" s="131">
        <f t="shared" si="242"/>
        <v>0</v>
      </c>
      <c r="Q150" s="131">
        <f t="shared" si="242"/>
        <v>0</v>
      </c>
      <c r="R150" s="132">
        <f t="shared" si="242"/>
        <v>0</v>
      </c>
    </row>
    <row r="151" spans="1:18" ht="15.75" hidden="1" outlineLevel="1" thickBot="1" x14ac:dyDescent="0.3">
      <c r="A151" s="40"/>
      <c r="B151" s="133" t="s">
        <v>150</v>
      </c>
      <c r="C151" s="133">
        <f>C148/1000</f>
        <v>1</v>
      </c>
      <c r="D151" s="133">
        <f>SUM($C$13:D148)/1000</f>
        <v>2786.3194439067183</v>
      </c>
      <c r="E151" s="133">
        <f>SUM($C$13:E148)/1000</f>
        <v>3461.602605141818</v>
      </c>
      <c r="F151" s="133">
        <f>SUM($C$13:F148)/1000</f>
        <v>4141.5683584523786</v>
      </c>
      <c r="G151" s="133">
        <f>SUM($C$13:G148)/1000</f>
        <v>4826.2368887928533</v>
      </c>
      <c r="H151" s="133">
        <f>SUM($C$13:H148)/1000</f>
        <v>5515.6284414572256</v>
      </c>
      <c r="I151" s="133">
        <f>SUM($C$13:I148)/1000</f>
        <v>6209.7633222114082</v>
      </c>
      <c r="J151" s="133">
        <f>SUM($C$13:J148)/1000</f>
        <v>6908.6618974258408</v>
      </c>
      <c r="K151" s="133">
        <f>SUM($C$13:K148)/1000</f>
        <v>7612.3445942083254</v>
      </c>
      <c r="L151" s="133">
        <f>SUM($C$13:L148)/1000</f>
        <v>8320.8319005370649</v>
      </c>
      <c r="M151" s="133">
        <f>SUM($C$13:M148)/1000</f>
        <v>9034.1443653939477</v>
      </c>
      <c r="N151" s="133">
        <f>SUM($C$13:N148)/1000</f>
        <v>9752.3025988980226</v>
      </c>
      <c r="O151" s="133">
        <f>SUM($C$13:O148)/1000</f>
        <v>10475.327272439225</v>
      </c>
      <c r="P151" s="133">
        <f>SUM($C$13:P148)/1000</f>
        <v>11203.239118812298</v>
      </c>
      <c r="Q151" s="133">
        <f>SUM($C$13:Q148)/1000</f>
        <v>11936.058932350958</v>
      </c>
      <c r="R151" s="78">
        <f>SUM($C$13:R148)/1000</f>
        <v>12673.807569062285</v>
      </c>
    </row>
    <row r="152" spans="1:18" ht="15.75" collapsed="1" thickBot="1" x14ac:dyDescent="0.3"/>
    <row r="153" spans="1:18" ht="15.75" thickBot="1" x14ac:dyDescent="0.3">
      <c r="A153" s="134" t="s">
        <v>167</v>
      </c>
      <c r="B153" s="125" t="s">
        <v>142</v>
      </c>
      <c r="C153" s="126">
        <v>43392</v>
      </c>
      <c r="D153" s="126">
        <v>43409</v>
      </c>
      <c r="E153" s="126"/>
      <c r="F153" s="126"/>
      <c r="G153" s="126"/>
      <c r="H153" s="126"/>
      <c r="I153" s="126"/>
      <c r="J153" s="126"/>
      <c r="K153" s="126"/>
      <c r="L153" s="126"/>
      <c r="M153" s="126"/>
      <c r="N153" s="126"/>
      <c r="O153" s="126"/>
      <c r="P153" s="126"/>
      <c r="Q153" s="126"/>
      <c r="R153" s="127"/>
    </row>
    <row r="154" spans="1:18" hidden="1" outlineLevel="1" x14ac:dyDescent="0.25">
      <c r="A154" s="36"/>
      <c r="B154" s="128" t="s">
        <v>143</v>
      </c>
      <c r="C154" s="121">
        <v>2500</v>
      </c>
      <c r="D154" s="121">
        <v>2800</v>
      </c>
      <c r="E154" s="121"/>
      <c r="F154" s="121"/>
      <c r="G154" s="121"/>
      <c r="H154" s="121"/>
      <c r="I154" s="121"/>
      <c r="J154" s="121"/>
      <c r="K154" s="121"/>
      <c r="L154" s="121"/>
      <c r="M154" s="121"/>
      <c r="N154" s="121"/>
      <c r="O154" s="121"/>
      <c r="P154" s="121"/>
      <c r="Q154" s="121"/>
      <c r="R154" s="129"/>
    </row>
    <row r="155" spans="1:18" hidden="1" outlineLevel="1" x14ac:dyDescent="0.25">
      <c r="A155" s="36"/>
      <c r="B155" s="128" t="s">
        <v>144</v>
      </c>
      <c r="C155" s="124">
        <v>43393</v>
      </c>
      <c r="D155" s="124">
        <v>43410</v>
      </c>
      <c r="E155" s="124"/>
      <c r="F155" s="124"/>
      <c r="G155" s="124"/>
      <c r="H155" s="124"/>
      <c r="I155" s="124"/>
      <c r="J155" s="124"/>
      <c r="K155" s="124"/>
      <c r="L155" s="124"/>
      <c r="M155" s="124"/>
      <c r="N155" s="124"/>
      <c r="O155" s="124"/>
      <c r="P155" s="124"/>
      <c r="Q155" s="124"/>
      <c r="R155" s="130"/>
    </row>
    <row r="156" spans="1:18" hidden="1" outlineLevel="1" x14ac:dyDescent="0.25">
      <c r="A156" s="36"/>
      <c r="B156" s="128" t="s">
        <v>145</v>
      </c>
      <c r="C156" s="121">
        <v>1500</v>
      </c>
      <c r="D156" s="121">
        <v>1500</v>
      </c>
      <c r="E156" s="121"/>
      <c r="F156" s="121"/>
      <c r="G156" s="121"/>
      <c r="H156" s="121"/>
      <c r="I156" s="121"/>
      <c r="J156" s="121"/>
      <c r="K156" s="121"/>
      <c r="L156" s="121"/>
      <c r="M156" s="121"/>
      <c r="N156" s="121"/>
      <c r="O156" s="121"/>
      <c r="P156" s="121"/>
      <c r="Q156" s="121"/>
      <c r="R156" s="129"/>
    </row>
    <row r="157" spans="1:18" hidden="1" outlineLevel="1" x14ac:dyDescent="0.25">
      <c r="A157" s="36"/>
      <c r="B157" s="128" t="s">
        <v>146</v>
      </c>
      <c r="C157" s="128">
        <f>C154-C156</f>
        <v>1000</v>
      </c>
      <c r="D157" s="128">
        <f>D154-D156</f>
        <v>1300</v>
      </c>
      <c r="E157" s="128">
        <f t="shared" ref="E157" si="243">E154-E156</f>
        <v>0</v>
      </c>
      <c r="F157" s="128">
        <f t="shared" ref="F157" si="244">F154-F156</f>
        <v>0</v>
      </c>
      <c r="G157" s="128">
        <f t="shared" ref="G157" si="245">G154-G156</f>
        <v>0</v>
      </c>
      <c r="H157" s="128">
        <f t="shared" ref="H157" si="246">H154-H156</f>
        <v>0</v>
      </c>
      <c r="I157" s="128">
        <f t="shared" ref="I157" si="247">I154-I156</f>
        <v>0</v>
      </c>
      <c r="J157" s="128">
        <f t="shared" ref="J157" si="248">J154-J156</f>
        <v>0</v>
      </c>
      <c r="K157" s="128">
        <f t="shared" ref="K157" si="249">K154-K156</f>
        <v>0</v>
      </c>
      <c r="L157" s="128">
        <f t="shared" ref="L157" si="250">L154-L156</f>
        <v>0</v>
      </c>
      <c r="M157" s="128">
        <f t="shared" ref="M157" si="251">M154-M156</f>
        <v>0</v>
      </c>
      <c r="N157" s="128">
        <f t="shared" ref="N157" si="252">N154-N156</f>
        <v>0</v>
      </c>
      <c r="O157" s="128">
        <f t="shared" ref="O157" si="253">O154-O156</f>
        <v>0</v>
      </c>
      <c r="P157" s="128">
        <f t="shared" ref="P157" si="254">P154-P156</f>
        <v>0</v>
      </c>
      <c r="Q157" s="128">
        <f t="shared" ref="Q157" si="255">Q154-Q156</f>
        <v>0</v>
      </c>
      <c r="R157" s="77">
        <f t="shared" ref="R157" si="256">R154-R156</f>
        <v>0</v>
      </c>
    </row>
    <row r="158" spans="1:18" hidden="1" outlineLevel="1" x14ac:dyDescent="0.25">
      <c r="A158" s="36"/>
      <c r="B158" s="128" t="s">
        <v>147</v>
      </c>
      <c r="C158" s="128">
        <f t="shared" ref="C158:R158" si="257">_xlfn.DAYS($B$4,C155)</f>
        <v>17</v>
      </c>
      <c r="D158" s="128">
        <f t="shared" si="257"/>
        <v>0</v>
      </c>
      <c r="E158" s="128">
        <f t="shared" si="257"/>
        <v>43410</v>
      </c>
      <c r="F158" s="128">
        <f t="shared" si="257"/>
        <v>43410</v>
      </c>
      <c r="G158" s="128">
        <f t="shared" si="257"/>
        <v>43410</v>
      </c>
      <c r="H158" s="128">
        <f t="shared" si="257"/>
        <v>43410</v>
      </c>
      <c r="I158" s="128">
        <f t="shared" si="257"/>
        <v>43410</v>
      </c>
      <c r="J158" s="128">
        <f t="shared" si="257"/>
        <v>43410</v>
      </c>
      <c r="K158" s="128">
        <f t="shared" si="257"/>
        <v>43410</v>
      </c>
      <c r="L158" s="128">
        <f t="shared" si="257"/>
        <v>43410</v>
      </c>
      <c r="M158" s="128">
        <f t="shared" si="257"/>
        <v>43410</v>
      </c>
      <c r="N158" s="128">
        <f t="shared" si="257"/>
        <v>43410</v>
      </c>
      <c r="O158" s="128">
        <f t="shared" si="257"/>
        <v>43410</v>
      </c>
      <c r="P158" s="128">
        <f t="shared" si="257"/>
        <v>43410</v>
      </c>
      <c r="Q158" s="128">
        <f t="shared" si="257"/>
        <v>43410</v>
      </c>
      <c r="R158" s="77">
        <f t="shared" si="257"/>
        <v>43410</v>
      </c>
    </row>
    <row r="159" spans="1:18" hidden="1" outlineLevel="1" x14ac:dyDescent="0.25">
      <c r="A159" s="36"/>
      <c r="B159" s="128" t="s">
        <v>148</v>
      </c>
      <c r="C159" s="128"/>
      <c r="D159" s="131">
        <f>IFERROR(D157/_xlfn.DAYS(D153,C155),0)</f>
        <v>81.25</v>
      </c>
      <c r="E159" s="131">
        <f t="shared" ref="E159:R159" si="258">IFERROR(E157/_xlfn.DAYS(E153,D155),0)</f>
        <v>0</v>
      </c>
      <c r="F159" s="131">
        <f t="shared" si="258"/>
        <v>0</v>
      </c>
      <c r="G159" s="131">
        <f t="shared" si="258"/>
        <v>0</v>
      </c>
      <c r="H159" s="131">
        <f t="shared" si="258"/>
        <v>0</v>
      </c>
      <c r="I159" s="131">
        <f t="shared" si="258"/>
        <v>0</v>
      </c>
      <c r="J159" s="131">
        <f t="shared" si="258"/>
        <v>0</v>
      </c>
      <c r="K159" s="131">
        <f t="shared" si="258"/>
        <v>0</v>
      </c>
      <c r="L159" s="131">
        <f t="shared" si="258"/>
        <v>0</v>
      </c>
      <c r="M159" s="131">
        <f t="shared" si="258"/>
        <v>0</v>
      </c>
      <c r="N159" s="131">
        <f t="shared" si="258"/>
        <v>0</v>
      </c>
      <c r="O159" s="131">
        <f t="shared" si="258"/>
        <v>0</v>
      </c>
      <c r="P159" s="131">
        <f t="shared" si="258"/>
        <v>0</v>
      </c>
      <c r="Q159" s="131">
        <f t="shared" si="258"/>
        <v>0</v>
      </c>
      <c r="R159" s="132">
        <f t="shared" si="258"/>
        <v>0</v>
      </c>
    </row>
    <row r="160" spans="1:18" ht="15.75" hidden="1" outlineLevel="1" thickBot="1" x14ac:dyDescent="0.3">
      <c r="A160" s="40"/>
      <c r="B160" s="133" t="s">
        <v>150</v>
      </c>
      <c r="C160" s="133">
        <f>C157/1000</f>
        <v>1</v>
      </c>
      <c r="D160" s="133">
        <f>SUM($C$13:D157)/1000</f>
        <v>2973.4090133506252</v>
      </c>
      <c r="E160" s="133">
        <f>SUM($C$13:E157)/1000</f>
        <v>3695.5637771908664</v>
      </c>
      <c r="F160" s="133">
        <f>SUM($C$13:F157)/1000</f>
        <v>4423.0810988598796</v>
      </c>
      <c r="G160" s="133">
        <f>SUM($C$13:G157)/1000</f>
        <v>5155.9858660891468</v>
      </c>
      <c r="H160" s="133">
        <f>SUM($C$13:H157)/1000</f>
        <v>5894.3030471949769</v>
      </c>
      <c r="I160" s="133">
        <f>SUM($C$13:I157)/1000</f>
        <v>6638.0576912713714</v>
      </c>
      <c r="J160" s="133">
        <f>SUM($C$13:J157)/1000</f>
        <v>7387.2749283832291</v>
      </c>
      <c r="K160" s="133">
        <f>SUM($C$13:K157)/1000</f>
        <v>8141.9799697599228</v>
      </c>
      <c r="L160" s="133">
        <f>SUM($C$13:L157)/1000</f>
        <v>8902.1981079891993</v>
      </c>
      <c r="M160" s="133">
        <f>SUM($C$13:M157)/1000</f>
        <v>9667.9547172114781</v>
      </c>
      <c r="N160" s="133">
        <f>SUM($C$13:N157)/1000</f>
        <v>10439.27525331445</v>
      </c>
      <c r="O160" s="133">
        <f>SUM($C$13:O157)/1000</f>
        <v>11216.185254128091</v>
      </c>
      <c r="P160" s="133">
        <f>SUM($C$13:P157)/1000</f>
        <v>11998.710339619978</v>
      </c>
      <c r="Q160" s="133">
        <f>SUM($C$13:Q157)/1000</f>
        <v>12786.876212090987</v>
      </c>
      <c r="R160" s="78">
        <f>SUM($C$13:R157)/1000</f>
        <v>13580.708656371378</v>
      </c>
    </row>
    <row r="161" collapsed="1" x14ac:dyDescent="0.25"/>
  </sheetData>
  <dataValidations disablePrompts="1" count="1">
    <dataValidation type="date" operator="greaterThan" allowBlank="1" showInputMessage="1" showErrorMessage="1" sqref="C9 C18 C27 C36 C45 C54 C63 C72 C81 C90 C99 C108 C117 C126 C135 C144 C153" xr:uid="{8A36C64C-4E6D-422D-AA00-20068680B882}">
      <formula1>43101</formula1>
    </dataValidation>
  </dataValidation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4FE52C-D755-4D9C-86AF-7597A83FF766}">
  <dimension ref="A1"/>
  <sheetViews>
    <sheetView workbookViewId="0">
      <selection activeCell="G4" sqref="G4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E13853B4712D9448C87073E61B41813" ma:contentTypeVersion="9" ma:contentTypeDescription="Create a new document." ma:contentTypeScope="" ma:versionID="5b68e5b783e1f527310b106c017ffdeb">
  <xsd:schema xmlns:xsd="http://www.w3.org/2001/XMLSchema" xmlns:xs="http://www.w3.org/2001/XMLSchema" xmlns:p="http://schemas.microsoft.com/office/2006/metadata/properties" xmlns:ns2="2a81235b-f356-4a9f-a132-3c1f5de1972d" xmlns:ns3="d39288ad-2759-479b-8016-218da56ae7f2" targetNamespace="http://schemas.microsoft.com/office/2006/metadata/properties" ma:root="true" ma:fieldsID="e044a16f9f7b29938744821c392518d6" ns2:_="" ns3:_="">
    <xsd:import namespace="2a81235b-f356-4a9f-a132-3c1f5de1972d"/>
    <xsd:import namespace="d39288ad-2759-479b-8016-218da56ae7f2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MediaServiceMetadata" minOccurs="0"/>
                <xsd:element ref="ns3:MediaServiceFastMetadata" minOccurs="0"/>
                <xsd:element ref="ns2:SharedWithDetails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a81235b-f356-4a9f-a132-3c1f5de1972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39288ad-2759-479b-8016-218da56ae7f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3C528A2-8AE0-4B8A-9A88-A6D51F6C5C36}"/>
</file>

<file path=customXml/itemProps2.xml><?xml version="1.0" encoding="utf-8"?>
<ds:datastoreItem xmlns:ds="http://schemas.openxmlformats.org/officeDocument/2006/customXml" ds:itemID="{D217FEF5-5A9F-4719-AC1A-094609BC2D00}"/>
</file>

<file path=customXml/itemProps3.xml><?xml version="1.0" encoding="utf-8"?>
<ds:datastoreItem xmlns:ds="http://schemas.openxmlformats.org/officeDocument/2006/customXml" ds:itemID="{77CE231E-2881-4A56-8CF1-C2CD5611270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Notes</vt:lpstr>
      <vt:lpstr>Calculator</vt:lpstr>
      <vt:lpstr>Old Cal</vt:lpstr>
      <vt:lpstr>LW gain</vt:lpstr>
      <vt:lpstr>Supplement</vt:lpstr>
      <vt:lpstr>APC</vt:lpstr>
      <vt:lpstr>Pivot Area</vt:lpstr>
      <vt:lpstr>Grazing</vt:lpstr>
      <vt:lpstr>Fertilizer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Lloyd Collett</dc:creator>
  <cp:lastModifiedBy>Lloyd Collett</cp:lastModifiedBy>
  <dcterms:created xsi:type="dcterms:W3CDTF">2018-10-17T10:41:58Z</dcterms:created>
  <dcterms:modified xsi:type="dcterms:W3CDTF">2018-12-03T07:53:41Z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0x010100DE13853B4712D9448C87073E61B41813</vt:lpwstr>
  </property>
</Properties>
</file>