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drawings/drawing10.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5.xml" ContentType="application/vnd.openxmlformats-officedocument.drawing+xml"/>
  <Override PartName="/xl/charts/colors1.xml" ContentType="application/vnd.ms-office.chartcolorstyle+xml"/>
  <Override PartName="/xl/charts/chart3.xml" ContentType="application/vnd.openxmlformats-officedocument.drawingml.char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Lloyd\OneDrive - ACS Accounting Trust\Info &amp; Templates\800 Cow Example Farm\"/>
    </mc:Choice>
  </mc:AlternateContent>
  <xr:revisionPtr revIDLastSave="63" documentId="13_ncr:1_{DADBDC09-9BB1-4294-8966-FBA76B019012}" xr6:coauthVersionLast="36" xr6:coauthVersionMax="36" xr10:uidLastSave="{11B04DC9-A609-458C-B86E-0BC7EFE7CE26}"/>
  <bookViews>
    <workbookView xWindow="0" yWindow="120" windowWidth="11340" windowHeight="5520" tabRatio="929" activeTab="3" xr2:uid="{00000000-000D-0000-FFFF-FFFF00000000}"/>
  </bookViews>
  <sheets>
    <sheet name="Instructions" sheetId="11" r:id="rId1"/>
    <sheet name="Summary" sheetId="2" r:id="rId2"/>
    <sheet name="P1 Area" sheetId="9" r:id="rId3"/>
    <sheet name="P1 CF" sheetId="13" r:id="rId4"/>
    <sheet name="P1 MF" sheetId="27" state="hidden" r:id="rId5"/>
    <sheet name="P1 Bal" sheetId="1" r:id="rId6"/>
    <sheet name="P1 Supps" sheetId="12" r:id="rId7"/>
    <sheet name="P1 Feeding" sheetId="18" r:id="rId8"/>
    <sheet name="Paddock Feed Budget Calculator" sheetId="7" state="hidden" r:id="rId9"/>
    <sheet name="Supp Feed Calculator" sheetId="10" state="hidden" r:id="rId10"/>
    <sheet name="P1 S&amp;F" sheetId="16" r:id="rId11"/>
    <sheet name="Financial" sheetId="14" r:id="rId12"/>
    <sheet name="Trnsf" sheetId="25" r:id="rId13"/>
    <sheet name="Comments" sheetId="26" r:id="rId14"/>
    <sheet name="P2 Area" sheetId="19" r:id="rId15"/>
    <sheet name="P2 CF" sheetId="20" r:id="rId16"/>
    <sheet name="P2 Bal" sheetId="21" r:id="rId17"/>
    <sheet name="P2 Supps" sheetId="22" r:id="rId18"/>
    <sheet name="P2 Feeding" sheetId="23" r:id="rId19"/>
    <sheet name="P2 S&amp;F" sheetId="24" r:id="rId20"/>
    <sheet name="Historical" sheetId="17" r:id="rId21"/>
  </sheets>
  <externalReferences>
    <externalReference r:id="rId22"/>
  </externalReferenc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13" l="1"/>
  <c r="G7" i="13" s="1"/>
  <c r="H7" i="13" s="1"/>
  <c r="I7" i="13" s="1"/>
  <c r="J7" i="13" s="1"/>
  <c r="K7" i="13" s="1"/>
  <c r="L7" i="13" s="1"/>
  <c r="M7" i="13" s="1"/>
  <c r="N7" i="13" s="1"/>
  <c r="G9" i="18"/>
  <c r="H9" i="18"/>
  <c r="I9" i="18" s="1"/>
  <c r="J9" i="18" s="1"/>
  <c r="K9" i="18" s="1"/>
  <c r="L9" i="18" s="1"/>
  <c r="M9" i="18" s="1"/>
  <c r="N9" i="18" s="1"/>
  <c r="O9" i="18" s="1"/>
  <c r="D26" i="18"/>
  <c r="F26" i="18"/>
  <c r="G26" i="18"/>
  <c r="H26" i="18" s="1"/>
  <c r="F39" i="14"/>
  <c r="F49" i="14"/>
  <c r="F50" i="14"/>
  <c r="F51" i="14"/>
  <c r="F52" i="14"/>
  <c r="F54" i="14"/>
  <c r="G55" i="14" l="1"/>
  <c r="H55" i="14" s="1"/>
  <c r="I55" i="14" s="1"/>
  <c r="J55" i="14" s="1"/>
  <c r="K55" i="14" s="1"/>
  <c r="L55" i="14" s="1"/>
  <c r="M55" i="14" s="1"/>
  <c r="N55" i="14" s="1"/>
  <c r="O55" i="14" s="1"/>
  <c r="P55" i="14" s="1"/>
  <c r="Q55" i="14" s="1"/>
  <c r="G54" i="14"/>
  <c r="H54" i="14" s="1"/>
  <c r="I54" i="14" s="1"/>
  <c r="J54" i="14" s="1"/>
  <c r="K54" i="14" s="1"/>
  <c r="L54" i="14" s="1"/>
  <c r="M54" i="14" s="1"/>
  <c r="N54" i="14" s="1"/>
  <c r="O54" i="14" s="1"/>
  <c r="P54" i="14" s="1"/>
  <c r="Q54" i="14" s="1"/>
  <c r="G53" i="14"/>
  <c r="H53" i="14" s="1"/>
  <c r="I53" i="14" s="1"/>
  <c r="J53" i="14" s="1"/>
  <c r="K53" i="14" s="1"/>
  <c r="L53" i="14" s="1"/>
  <c r="M53" i="14" s="1"/>
  <c r="N53" i="14" s="1"/>
  <c r="O53" i="14" s="1"/>
  <c r="P53" i="14" s="1"/>
  <c r="Q53" i="14" s="1"/>
  <c r="G52" i="14"/>
  <c r="H52" i="14" s="1"/>
  <c r="I52" i="14" s="1"/>
  <c r="J52" i="14" s="1"/>
  <c r="K52" i="14" s="1"/>
  <c r="L52" i="14" s="1"/>
  <c r="M52" i="14" s="1"/>
  <c r="N52" i="14" s="1"/>
  <c r="O52" i="14" s="1"/>
  <c r="P52" i="14" s="1"/>
  <c r="Q52" i="14" s="1"/>
  <c r="G51" i="14"/>
  <c r="H51" i="14" s="1"/>
  <c r="I51" i="14" s="1"/>
  <c r="J51" i="14" s="1"/>
  <c r="K51" i="14" s="1"/>
  <c r="L51" i="14" s="1"/>
  <c r="M51" i="14" s="1"/>
  <c r="N51" i="14" s="1"/>
  <c r="O51" i="14" s="1"/>
  <c r="P51" i="14" s="1"/>
  <c r="Q51" i="14" s="1"/>
  <c r="G50" i="14"/>
  <c r="H50" i="14" s="1"/>
  <c r="I50" i="14" s="1"/>
  <c r="J50" i="14" s="1"/>
  <c r="K50" i="14" s="1"/>
  <c r="L50" i="14" s="1"/>
  <c r="M50" i="14" s="1"/>
  <c r="N50" i="14" s="1"/>
  <c r="O50" i="14" s="1"/>
  <c r="P50" i="14" s="1"/>
  <c r="Q50" i="14" s="1"/>
  <c r="G49" i="14"/>
  <c r="H49" i="14" s="1"/>
  <c r="I49" i="14" s="1"/>
  <c r="J49" i="14" s="1"/>
  <c r="K49" i="14" s="1"/>
  <c r="L49" i="14" s="1"/>
  <c r="M49" i="14" s="1"/>
  <c r="N49" i="14" s="1"/>
  <c r="O49" i="14" s="1"/>
  <c r="P49" i="14" s="1"/>
  <c r="Q49" i="14" s="1"/>
  <c r="T37" i="14"/>
  <c r="S37" i="14"/>
  <c r="T36" i="14"/>
  <c r="S36" i="14"/>
  <c r="T31" i="14"/>
  <c r="Q8" i="14"/>
  <c r="P8" i="14"/>
  <c r="O8" i="14"/>
  <c r="I8" i="14"/>
  <c r="L6" i="14"/>
  <c r="J6" i="14"/>
  <c r="I26" i="18"/>
  <c r="J26" i="18" s="1"/>
  <c r="K26" i="18" s="1"/>
  <c r="L26" i="18" s="1"/>
  <c r="M26" i="18" s="1"/>
  <c r="N26" i="18" s="1"/>
  <c r="O26" i="18" s="1"/>
  <c r="E19" i="13"/>
  <c r="F19" i="13" s="1"/>
  <c r="G19" i="13" s="1"/>
  <c r="H19" i="13" s="1"/>
  <c r="I19" i="13" s="1"/>
  <c r="J19" i="13" s="1"/>
  <c r="K19" i="13" s="1"/>
  <c r="L19" i="13" s="1"/>
  <c r="M19" i="13" s="1"/>
  <c r="N19" i="13" s="1"/>
  <c r="D19" i="13"/>
  <c r="Q60" i="14" l="1"/>
  <c r="P60" i="14"/>
  <c r="O60" i="14"/>
  <c r="N60" i="14"/>
  <c r="M60" i="14"/>
  <c r="L60" i="14"/>
  <c r="K60" i="14"/>
  <c r="J60" i="14"/>
  <c r="I60" i="14"/>
  <c r="H60" i="14"/>
  <c r="G60" i="14"/>
  <c r="F60" i="14"/>
  <c r="B58" i="14" l="1"/>
  <c r="B54" i="14" l="1"/>
  <c r="B52" i="14" l="1"/>
  <c r="B55" i="14"/>
  <c r="B57" i="14"/>
  <c r="B59" i="14" l="1"/>
  <c r="B56" i="14"/>
  <c r="V19" i="14" l="1"/>
  <c r="V20" i="14" s="1"/>
  <c r="Q27" i="14"/>
  <c r="P27" i="14"/>
  <c r="O27" i="14"/>
  <c r="N27" i="14"/>
  <c r="M27" i="14"/>
  <c r="L27" i="14"/>
  <c r="K27" i="14"/>
  <c r="J27" i="14"/>
  <c r="I27" i="14"/>
  <c r="H27" i="14"/>
  <c r="G27" i="14"/>
  <c r="Q26" i="14"/>
  <c r="P26" i="14"/>
  <c r="O26" i="14"/>
  <c r="N26" i="14"/>
  <c r="M26" i="14"/>
  <c r="L26" i="14"/>
  <c r="K26" i="14"/>
  <c r="J26" i="14"/>
  <c r="I26" i="14"/>
  <c r="H26" i="14"/>
  <c r="G26" i="14"/>
  <c r="Q25" i="14"/>
  <c r="P25" i="14"/>
  <c r="O25" i="14"/>
  <c r="N25" i="14"/>
  <c r="M25" i="14"/>
  <c r="L25" i="14"/>
  <c r="K25" i="14"/>
  <c r="J25" i="14"/>
  <c r="I25" i="14"/>
  <c r="H25" i="14"/>
  <c r="G25" i="14"/>
  <c r="F27" i="14"/>
  <c r="F26" i="14"/>
  <c r="F25" i="14"/>
  <c r="Z13" i="16"/>
  <c r="Z12" i="16"/>
  <c r="Z11" i="16"/>
  <c r="Y14" i="16"/>
  <c r="V23" i="16"/>
  <c r="U23" i="16"/>
  <c r="T23" i="16"/>
  <c r="S23" i="16"/>
  <c r="R23" i="16"/>
  <c r="Q23" i="16"/>
  <c r="P23" i="16"/>
  <c r="O23" i="16"/>
  <c r="N23" i="16"/>
  <c r="M23" i="16"/>
  <c r="L23" i="16"/>
  <c r="K23" i="16"/>
  <c r="V19" i="16"/>
  <c r="U19" i="16"/>
  <c r="T19" i="16"/>
  <c r="S19" i="16"/>
  <c r="R19" i="16"/>
  <c r="Q19" i="16"/>
  <c r="P19" i="16"/>
  <c r="O19" i="16"/>
  <c r="N19" i="16"/>
  <c r="M19" i="16"/>
  <c r="L19" i="16"/>
  <c r="K19" i="16"/>
  <c r="F29" i="18"/>
  <c r="P20" i="13"/>
  <c r="C20" i="16"/>
  <c r="C17" i="16"/>
  <c r="E20" i="16"/>
  <c r="C16" i="16"/>
  <c r="C15" i="16"/>
  <c r="B16" i="16"/>
  <c r="B17" i="16"/>
  <c r="B15" i="16"/>
  <c r="Z28" i="27"/>
  <c r="Y28" i="27"/>
  <c r="X28" i="27"/>
  <c r="W28" i="27"/>
  <c r="V28" i="27"/>
  <c r="U28" i="27"/>
  <c r="T28" i="27"/>
  <c r="S28" i="27"/>
  <c r="R28" i="27"/>
  <c r="Q28" i="27"/>
  <c r="P28" i="27"/>
  <c r="O28" i="27"/>
  <c r="G27" i="27"/>
  <c r="F27" i="27"/>
  <c r="E27" i="27"/>
  <c r="D27" i="27"/>
  <c r="N27" i="27"/>
  <c r="M27" i="27"/>
  <c r="L27" i="27"/>
  <c r="K27" i="27"/>
  <c r="J27" i="27"/>
  <c r="I27" i="27"/>
  <c r="H27" i="27"/>
  <c r="C27" i="27" l="1"/>
  <c r="P4" i="13"/>
  <c r="G6" i="14"/>
  <c r="I6" i="14" s="1"/>
  <c r="G29" i="18"/>
  <c r="H29" i="18" s="1"/>
  <c r="J29" i="18" s="1"/>
  <c r="L29" i="18" s="1"/>
  <c r="M29" i="18" s="1"/>
  <c r="N29" i="18" s="1"/>
  <c r="O29" i="18" s="1"/>
  <c r="U31" i="27"/>
  <c r="V31" i="27" s="1"/>
  <c r="W31" i="27" s="1"/>
  <c r="X31" i="27" s="1"/>
  <c r="Y31" i="27" s="1"/>
  <c r="O27" i="27"/>
  <c r="L31" i="27"/>
  <c r="K31" i="27"/>
  <c r="J31" i="27"/>
  <c r="I31" i="27"/>
  <c r="H31" i="27"/>
  <c r="G31" i="27"/>
  <c r="F31" i="27"/>
  <c r="E31" i="27"/>
  <c r="D31" i="27"/>
  <c r="C31" i="27"/>
  <c r="B32" i="27"/>
  <c r="M32" i="27" s="1"/>
  <c r="B10" i="27"/>
  <c r="B4" i="27" s="1"/>
  <c r="C4" i="27" s="1"/>
  <c r="KO5" i="27"/>
  <c r="KN5" i="27"/>
  <c r="KM5" i="27"/>
  <c r="KL5" i="27"/>
  <c r="KK5" i="27"/>
  <c r="KJ5" i="27"/>
  <c r="KI5" i="27"/>
  <c r="KH5" i="27"/>
  <c r="KG5" i="27"/>
  <c r="KF5" i="27"/>
  <c r="KE5" i="27"/>
  <c r="KD5" i="27"/>
  <c r="KC5" i="27"/>
  <c r="KB5" i="27"/>
  <c r="KA5" i="27"/>
  <c r="JZ5" i="27"/>
  <c r="JY5" i="27"/>
  <c r="JX5" i="27"/>
  <c r="JW5" i="27"/>
  <c r="JV5" i="27"/>
  <c r="JU5" i="27"/>
  <c r="JT5" i="27"/>
  <c r="JS5" i="27"/>
  <c r="JR5" i="27"/>
  <c r="JQ5" i="27"/>
  <c r="JP5" i="27"/>
  <c r="JO5" i="27"/>
  <c r="JN5" i="27"/>
  <c r="JM5" i="27"/>
  <c r="JL5" i="27"/>
  <c r="JK5" i="27"/>
  <c r="JJ5" i="27"/>
  <c r="JI5" i="27"/>
  <c r="JH5" i="27"/>
  <c r="JG5" i="27"/>
  <c r="JF5" i="27"/>
  <c r="JE5" i="27"/>
  <c r="JD5" i="27"/>
  <c r="JC5" i="27"/>
  <c r="JB5" i="27"/>
  <c r="JA5" i="27"/>
  <c r="IZ5" i="27"/>
  <c r="IY5" i="27"/>
  <c r="IX5" i="27"/>
  <c r="IW5" i="27"/>
  <c r="IV5" i="27"/>
  <c r="IU5" i="27"/>
  <c r="IT5" i="27"/>
  <c r="IS5" i="27"/>
  <c r="IR5" i="27"/>
  <c r="IQ5" i="27"/>
  <c r="IP5" i="27"/>
  <c r="IO5" i="27"/>
  <c r="IN5" i="27"/>
  <c r="IM5" i="27"/>
  <c r="IL5" i="27"/>
  <c r="IK5" i="27"/>
  <c r="IJ5" i="27"/>
  <c r="II5" i="27"/>
  <c r="IH5" i="27"/>
  <c r="IG5" i="27"/>
  <c r="IF5" i="27"/>
  <c r="IE5" i="27"/>
  <c r="ID5" i="27"/>
  <c r="IC5" i="27"/>
  <c r="IB5" i="27"/>
  <c r="IA5" i="27"/>
  <c r="HZ5" i="27"/>
  <c r="HY5" i="27"/>
  <c r="HX5" i="27"/>
  <c r="HW5" i="27"/>
  <c r="HV5" i="27"/>
  <c r="HU5" i="27"/>
  <c r="HT5" i="27"/>
  <c r="HS5" i="27"/>
  <c r="HR5" i="27"/>
  <c r="HQ5" i="27"/>
  <c r="HP5" i="27"/>
  <c r="HO5" i="27"/>
  <c r="HN5" i="27"/>
  <c r="HM5" i="27"/>
  <c r="HL5" i="27"/>
  <c r="HK5" i="27"/>
  <c r="HJ5" i="27"/>
  <c r="HI5" i="27"/>
  <c r="HH5" i="27"/>
  <c r="HG5" i="27"/>
  <c r="HF5" i="27"/>
  <c r="HE5" i="27"/>
  <c r="HD5" i="27"/>
  <c r="HC5" i="27"/>
  <c r="HB5" i="27"/>
  <c r="HA5" i="27"/>
  <c r="GZ5" i="27"/>
  <c r="GY5" i="27"/>
  <c r="GX5" i="27"/>
  <c r="GW5" i="27"/>
  <c r="GV5" i="27"/>
  <c r="GU5" i="27"/>
  <c r="GT5" i="27"/>
  <c r="GS5" i="27"/>
  <c r="GR5" i="27"/>
  <c r="GQ5" i="27"/>
  <c r="GP5" i="27"/>
  <c r="GO5" i="27"/>
  <c r="GN5" i="27"/>
  <c r="GM5" i="27"/>
  <c r="GL5" i="27"/>
  <c r="GK5" i="27"/>
  <c r="GJ5" i="27"/>
  <c r="GI5" i="27"/>
  <c r="GH5" i="27"/>
  <c r="GG5"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EY5" i="27"/>
  <c r="EX5" i="27"/>
  <c r="EW5" i="27"/>
  <c r="EV5" i="27"/>
  <c r="EU5" i="27"/>
  <c r="ET5" i="27"/>
  <c r="ES5" i="27"/>
  <c r="ER5" i="27"/>
  <c r="EQ5" i="27"/>
  <c r="EP5" i="27"/>
  <c r="EO5" i="27"/>
  <c r="EN5" i="27"/>
  <c r="EM5" i="27"/>
  <c r="EL5" i="27"/>
  <c r="EK5" i="27"/>
  <c r="EJ5" i="27"/>
  <c r="EI5" i="27"/>
  <c r="EH5" i="27"/>
  <c r="EG5" i="27"/>
  <c r="EF5" i="27"/>
  <c r="EE5" i="27"/>
  <c r="ED5" i="27"/>
  <c r="EC5" i="27"/>
  <c r="EB5" i="27"/>
  <c r="EA5" i="27"/>
  <c r="DZ5" i="27"/>
  <c r="DY5" i="27"/>
  <c r="DX5" i="27"/>
  <c r="DW5" i="27"/>
  <c r="DV5" i="27"/>
  <c r="DU5" i="27"/>
  <c r="DT5" i="27"/>
  <c r="DS5" i="27"/>
  <c r="DR5" i="27"/>
  <c r="DQ5" i="27"/>
  <c r="DP5" i="27"/>
  <c r="DO5" i="27"/>
  <c r="DN5" i="27"/>
  <c r="DM5" i="27"/>
  <c r="DL5" i="27"/>
  <c r="DK5" i="27"/>
  <c r="DJ5" i="27"/>
  <c r="DI5" i="27"/>
  <c r="DH5" i="27"/>
  <c r="DG5" i="27"/>
  <c r="DF5" i="27"/>
  <c r="DE5" i="27"/>
  <c r="DD5" i="27"/>
  <c r="DC5" i="27"/>
  <c r="DB5" i="27"/>
  <c r="DA5" i="27"/>
  <c r="CZ5" i="27"/>
  <c r="CY5" i="27"/>
  <c r="CX5" i="27"/>
  <c r="CW5" i="27"/>
  <c r="CV5" i="27"/>
  <c r="CU5" i="27"/>
  <c r="CT5" i="27"/>
  <c r="CS5" i="27"/>
  <c r="CR5" i="27"/>
  <c r="CQ5" i="27"/>
  <c r="CP5" i="27"/>
  <c r="CO5" i="27"/>
  <c r="CN5" i="27"/>
  <c r="CM5" i="27"/>
  <c r="CL5" i="27"/>
  <c r="CK5" i="27"/>
  <c r="CJ5" i="27"/>
  <c r="CI5" i="27"/>
  <c r="CH5" i="27"/>
  <c r="CG5" i="27"/>
  <c r="CF5" i="27"/>
  <c r="CE5" i="27"/>
  <c r="CD5" i="27"/>
  <c r="CC5" i="27"/>
  <c r="CB5" i="27"/>
  <c r="CA5" i="27"/>
  <c r="BZ5" i="27"/>
  <c r="BY5" i="27"/>
  <c r="BX5" i="27"/>
  <c r="BE5" i="27"/>
  <c r="BF5" i="27" s="1"/>
  <c r="BG5" i="27" s="1"/>
  <c r="BH5" i="27" s="1"/>
  <c r="BI5" i="27" s="1"/>
  <c r="BJ5" i="27" s="1"/>
  <c r="BK5" i="27" s="1"/>
  <c r="BL5" i="27" s="1"/>
  <c r="BM5" i="27" s="1"/>
  <c r="BN5" i="27" s="1"/>
  <c r="BO5" i="27" s="1"/>
  <c r="BP5" i="27" s="1"/>
  <c r="BQ5" i="27" s="1"/>
  <c r="BR5" i="27" s="1"/>
  <c r="BS5" i="27" s="1"/>
  <c r="BT5" i="27" s="1"/>
  <c r="BU5" i="27" s="1"/>
  <c r="BV5" i="27" s="1"/>
  <c r="BW5" i="27" s="1"/>
  <c r="D5" i="27"/>
  <c r="E5" i="27" s="1"/>
  <c r="F5" i="27" s="1"/>
  <c r="G5" i="27" s="1"/>
  <c r="H5" i="27" s="1"/>
  <c r="I5" i="27" s="1"/>
  <c r="J5" i="27" s="1"/>
  <c r="K5" i="27" s="1"/>
  <c r="L5" i="27" s="1"/>
  <c r="M5" i="27" s="1"/>
  <c r="N5" i="27" s="1"/>
  <c r="O5" i="27" s="1"/>
  <c r="P5" i="27" s="1"/>
  <c r="Q5" i="27" s="1"/>
  <c r="R5" i="27" s="1"/>
  <c r="S5" i="27" s="1"/>
  <c r="T5" i="27" s="1"/>
  <c r="U5" i="27" s="1"/>
  <c r="V5" i="27" s="1"/>
  <c r="W5" i="27" s="1"/>
  <c r="X5" i="27" s="1"/>
  <c r="Y5" i="27" s="1"/>
  <c r="Z5" i="27" s="1"/>
  <c r="AA5" i="27" s="1"/>
  <c r="AB5" i="27" s="1"/>
  <c r="AC5" i="27" s="1"/>
  <c r="AD5" i="27" s="1"/>
  <c r="AE5" i="27" s="1"/>
  <c r="AF5" i="27" s="1"/>
  <c r="AG5" i="27" s="1"/>
  <c r="AH5" i="27" s="1"/>
  <c r="AI5" i="27" s="1"/>
  <c r="AJ5" i="27" s="1"/>
  <c r="AK5" i="27" s="1"/>
  <c r="AL5" i="27" s="1"/>
  <c r="AM5" i="27" s="1"/>
  <c r="AN5" i="27" s="1"/>
  <c r="AO5" i="27" s="1"/>
  <c r="AP5" i="27" s="1"/>
  <c r="AQ5" i="27" s="1"/>
  <c r="AR5" i="27" s="1"/>
  <c r="AS5" i="27" s="1"/>
  <c r="AT5" i="27" s="1"/>
  <c r="AU5" i="27" s="1"/>
  <c r="AV5" i="27" s="1"/>
  <c r="AW5" i="27" s="1"/>
  <c r="AX5" i="27" s="1"/>
  <c r="AY5" i="27" s="1"/>
  <c r="AZ5" i="27" s="1"/>
  <c r="BA5" i="27" s="1"/>
  <c r="BB5" i="27" s="1"/>
  <c r="BC5" i="27" s="1"/>
  <c r="BD5" i="27" s="1"/>
  <c r="K6" i="14" l="1"/>
  <c r="M6" i="14" s="1"/>
  <c r="N6" i="14" s="1"/>
  <c r="O6" i="14" s="1"/>
  <c r="P27" i="27"/>
  <c r="Q27" i="27" s="1"/>
  <c r="R27" i="27" s="1"/>
  <c r="O30" i="27"/>
  <c r="P30" i="27" s="1"/>
  <c r="Q30" i="27" s="1"/>
  <c r="R30" i="27" s="1"/>
  <c r="S30" i="27" s="1"/>
  <c r="T30" i="27" s="1"/>
  <c r="U30" i="27" s="1"/>
  <c r="V30" i="27" s="1"/>
  <c r="W30" i="27" s="1"/>
  <c r="X30" i="27" s="1"/>
  <c r="Y30" i="27" s="1"/>
  <c r="Z30" i="27" s="1"/>
  <c r="Z31" i="27"/>
  <c r="D32" i="27"/>
  <c r="L32" i="27"/>
  <c r="D4" i="27"/>
  <c r="E4" i="27" s="1"/>
  <c r="F4" i="27" s="1"/>
  <c r="G4" i="27" s="1"/>
  <c r="H4" i="27" s="1"/>
  <c r="I4" i="27" s="1"/>
  <c r="J4" i="27" s="1"/>
  <c r="K4" i="27" s="1"/>
  <c r="L4" i="27" s="1"/>
  <c r="M4" i="27" s="1"/>
  <c r="N4" i="27" s="1"/>
  <c r="O4" i="27" s="1"/>
  <c r="P4" i="27" s="1"/>
  <c r="Q4" i="27" s="1"/>
  <c r="R4" i="27" s="1"/>
  <c r="S4" i="27" s="1"/>
  <c r="T4" i="27" s="1"/>
  <c r="U4" i="27" s="1"/>
  <c r="V4" i="27" s="1"/>
  <c r="W4" i="27" s="1"/>
  <c r="X4" i="27" s="1"/>
  <c r="Y4" i="27" s="1"/>
  <c r="Z4" i="27" s="1"/>
  <c r="AA4" i="27" s="1"/>
  <c r="AB4" i="27" s="1"/>
  <c r="AC4" i="27" s="1"/>
  <c r="AD4" i="27" s="1"/>
  <c r="AE4" i="27" s="1"/>
  <c r="AF4" i="27" s="1"/>
  <c r="H32" i="27"/>
  <c r="F32" i="27"/>
  <c r="J32" i="27"/>
  <c r="E32" i="27"/>
  <c r="G32" i="27"/>
  <c r="I32" i="27"/>
  <c r="K32" i="27"/>
  <c r="B33" i="27"/>
  <c r="P6" i="14" l="1"/>
  <c r="Q6" i="14" s="1"/>
  <c r="S27" i="27"/>
  <c r="T8" i="27"/>
  <c r="N33" i="27"/>
  <c r="L33" i="27"/>
  <c r="J33" i="27"/>
  <c r="H33" i="27"/>
  <c r="F33" i="27"/>
  <c r="K33" i="27"/>
  <c r="G33" i="27"/>
  <c r="M33" i="27"/>
  <c r="I33" i="27"/>
  <c r="E33" i="27"/>
  <c r="AG4" i="27"/>
  <c r="AH4" i="27" s="1"/>
  <c r="AI4" i="27" s="1"/>
  <c r="AJ4" i="27" s="1"/>
  <c r="AK4" i="27" s="1"/>
  <c r="AL4" i="27" s="1"/>
  <c r="AM4" i="27" s="1"/>
  <c r="AN4" i="27" s="1"/>
  <c r="AO4" i="27" s="1"/>
  <c r="AP4" i="27" s="1"/>
  <c r="AQ4" i="27" s="1"/>
  <c r="AR4" i="27" s="1"/>
  <c r="AS4" i="27" s="1"/>
  <c r="AT4" i="27" s="1"/>
  <c r="AU4" i="27" s="1"/>
  <c r="AV4" i="27" s="1"/>
  <c r="AW4" i="27" s="1"/>
  <c r="AX4" i="27" s="1"/>
  <c r="AY4" i="27" s="1"/>
  <c r="AZ4" i="27" s="1"/>
  <c r="BA4" i="27" s="1"/>
  <c r="BB4" i="27" s="1"/>
  <c r="BC4" i="27" s="1"/>
  <c r="BD4" i="27" s="1"/>
  <c r="BE4" i="27" s="1"/>
  <c r="BF4" i="27" s="1"/>
  <c r="BG4" i="27" s="1"/>
  <c r="BH4" i="27" s="1"/>
  <c r="BI4" i="27" s="1"/>
  <c r="BJ4" i="27" s="1"/>
  <c r="B34" i="27"/>
  <c r="T27" i="27" l="1"/>
  <c r="M34" i="27"/>
  <c r="K34" i="27"/>
  <c r="I34" i="27"/>
  <c r="G34" i="27"/>
  <c r="N34" i="27"/>
  <c r="J34" i="27"/>
  <c r="F34" i="27"/>
  <c r="L34" i="27"/>
  <c r="H34" i="27"/>
  <c r="B35" i="27"/>
  <c r="BK4" i="27"/>
  <c r="BL4" i="27" s="1"/>
  <c r="BM4" i="27" s="1"/>
  <c r="BN4" i="27" s="1"/>
  <c r="BO4" i="27" s="1"/>
  <c r="BP4" i="27" s="1"/>
  <c r="BQ4" i="27" s="1"/>
  <c r="BR4" i="27" s="1"/>
  <c r="BS4" i="27" s="1"/>
  <c r="BT4" i="27" s="1"/>
  <c r="BU4" i="27" s="1"/>
  <c r="BV4" i="27" s="1"/>
  <c r="BW4" i="27" s="1"/>
  <c r="BX4" i="27" s="1"/>
  <c r="U8" i="27"/>
  <c r="U27" i="27" l="1"/>
  <c r="N35" i="27"/>
  <c r="L35" i="27"/>
  <c r="J35" i="27"/>
  <c r="H35" i="27"/>
  <c r="M35" i="27"/>
  <c r="I35" i="27"/>
  <c r="K35" i="27"/>
  <c r="G35" i="27"/>
  <c r="C9" i="27"/>
  <c r="BY4" i="27"/>
  <c r="B36" i="27"/>
  <c r="V27" i="27" l="1"/>
  <c r="M36" i="27"/>
  <c r="K36" i="27"/>
  <c r="I36" i="27"/>
  <c r="L36" i="27"/>
  <c r="H36" i="27"/>
  <c r="N36" i="27"/>
  <c r="J36" i="27"/>
  <c r="B37" i="27"/>
  <c r="BZ4" i="27"/>
  <c r="CA4" i="27" s="1"/>
  <c r="CB4" i="27" s="1"/>
  <c r="CC4" i="27" s="1"/>
  <c r="CD4" i="27" s="1"/>
  <c r="CE4" i="27" s="1"/>
  <c r="CF4" i="27" s="1"/>
  <c r="CG4" i="27" s="1"/>
  <c r="CH4" i="27" s="1"/>
  <c r="CI4" i="27" s="1"/>
  <c r="CJ4" i="27" s="1"/>
  <c r="CK4" i="27" s="1"/>
  <c r="CL4" i="27" s="1"/>
  <c r="CM4" i="27" s="1"/>
  <c r="CN4" i="27" s="1"/>
  <c r="W27" i="27" l="1"/>
  <c r="N37" i="27"/>
  <c r="L37" i="27"/>
  <c r="J37" i="27"/>
  <c r="M37" i="27"/>
  <c r="K37" i="27"/>
  <c r="I37" i="27"/>
  <c r="CO4" i="27"/>
  <c r="CP4" i="27" s="1"/>
  <c r="CQ4" i="27" s="1"/>
  <c r="CR4" i="27" s="1"/>
  <c r="CS4" i="27" s="1"/>
  <c r="CT4" i="27" s="1"/>
  <c r="CU4" i="27" s="1"/>
  <c r="CV4" i="27" s="1"/>
  <c r="CW4" i="27" s="1"/>
  <c r="CX4" i="27" s="1"/>
  <c r="CY4" i="27" s="1"/>
  <c r="CZ4" i="27" s="1"/>
  <c r="DA4" i="27" s="1"/>
  <c r="DB4" i="27" s="1"/>
  <c r="DC4" i="27" s="1"/>
  <c r="DD4" i="27" s="1"/>
  <c r="DE4" i="27" s="1"/>
  <c r="DF4" i="27" s="1"/>
  <c r="DG4" i="27" s="1"/>
  <c r="DH4" i="27" s="1"/>
  <c r="DI4" i="27" s="1"/>
  <c r="DJ4" i="27" s="1"/>
  <c r="DK4" i="27" s="1"/>
  <c r="DL4" i="27" s="1"/>
  <c r="DM4" i="27" s="1"/>
  <c r="DN4" i="27" s="1"/>
  <c r="DO4" i="27" s="1"/>
  <c r="DP4" i="27" s="1"/>
  <c r="DQ4" i="27" s="1"/>
  <c r="DR4" i="27" s="1"/>
  <c r="V8" i="27"/>
  <c r="B38" i="27"/>
  <c r="X27" i="27" l="1"/>
  <c r="Y27" i="27" s="1"/>
  <c r="Z27" i="27" s="1"/>
  <c r="W8" i="27"/>
  <c r="M38" i="27"/>
  <c r="K38" i="27"/>
  <c r="N38" i="27"/>
  <c r="L38" i="27"/>
  <c r="J38" i="27"/>
  <c r="B39" i="27"/>
  <c r="DS4" i="27"/>
  <c r="DT4" i="27" s="1"/>
  <c r="DU4" i="27" s="1"/>
  <c r="DV4" i="27" s="1"/>
  <c r="DW4" i="27" s="1"/>
  <c r="DX4" i="27" s="1"/>
  <c r="DY4" i="27" s="1"/>
  <c r="DZ4" i="27" s="1"/>
  <c r="EA4" i="27" s="1"/>
  <c r="EB4" i="27" s="1"/>
  <c r="EC4" i="27" s="1"/>
  <c r="ED4" i="27" s="1"/>
  <c r="EE4" i="27" s="1"/>
  <c r="EF4" i="27" s="1"/>
  <c r="EG4" i="27" s="1"/>
  <c r="EH4" i="27" s="1"/>
  <c r="EI4" i="27" s="1"/>
  <c r="EJ4" i="27" s="1"/>
  <c r="EK4" i="27" s="1"/>
  <c r="EL4" i="27" s="1"/>
  <c r="EM4" i="27" s="1"/>
  <c r="EN4" i="27" s="1"/>
  <c r="EO4" i="27" s="1"/>
  <c r="EP4" i="27" s="1"/>
  <c r="EQ4" i="27" s="1"/>
  <c r="ER4" i="27" s="1"/>
  <c r="ES4" i="27" s="1"/>
  <c r="ET4" i="27" s="1"/>
  <c r="EU4" i="27" s="1"/>
  <c r="EV4" i="27" s="1"/>
  <c r="B51" i="14" l="1"/>
  <c r="X8" i="27"/>
  <c r="N39" i="27"/>
  <c r="L39" i="27"/>
  <c r="M39" i="27"/>
  <c r="K39" i="27"/>
  <c r="EW4" i="27"/>
  <c r="EX4" i="27" s="1"/>
  <c r="EY4" i="27" s="1"/>
  <c r="EZ4" i="27" s="1"/>
  <c r="FA4" i="27" s="1"/>
  <c r="FB4" i="27" s="1"/>
  <c r="FC4" i="27" s="1"/>
  <c r="FD4" i="27" s="1"/>
  <c r="FE4" i="27" s="1"/>
  <c r="FF4" i="27" s="1"/>
  <c r="FG4" i="27" s="1"/>
  <c r="FH4" i="27" s="1"/>
  <c r="FI4" i="27" s="1"/>
  <c r="FJ4" i="27" s="1"/>
  <c r="FK4" i="27" s="1"/>
  <c r="FL4" i="27" s="1"/>
  <c r="FM4" i="27" s="1"/>
  <c r="FN4" i="27" s="1"/>
  <c r="FO4" i="27" s="1"/>
  <c r="FP4" i="27" s="1"/>
  <c r="FQ4" i="27" s="1"/>
  <c r="FR4" i="27" s="1"/>
  <c r="FS4" i="27" s="1"/>
  <c r="FT4" i="27" s="1"/>
  <c r="FU4" i="27" s="1"/>
  <c r="FV4" i="27" s="1"/>
  <c r="FW4" i="27" s="1"/>
  <c r="FX4" i="27" s="1"/>
  <c r="FY4" i="27" s="1"/>
  <c r="FZ4" i="27" s="1"/>
  <c r="B40" i="27"/>
  <c r="M40" i="27" l="1"/>
  <c r="N40" i="27"/>
  <c r="L40" i="27"/>
  <c r="B41" i="27"/>
  <c r="GA4" i="27"/>
  <c r="GB4" i="27" s="1"/>
  <c r="GC4" i="27" s="1"/>
  <c r="GD4" i="27" s="1"/>
  <c r="GE4" i="27" s="1"/>
  <c r="GF4" i="27" s="1"/>
  <c r="GG4" i="27" s="1"/>
  <c r="GH4" i="27" s="1"/>
  <c r="GI4" i="27" s="1"/>
  <c r="GJ4" i="27" s="1"/>
  <c r="GK4" i="27" s="1"/>
  <c r="GL4" i="27" s="1"/>
  <c r="GM4" i="27" s="1"/>
  <c r="GN4" i="27" s="1"/>
  <c r="GO4" i="27" s="1"/>
  <c r="GP4" i="27" s="1"/>
  <c r="GQ4" i="27" s="1"/>
  <c r="GR4" i="27" s="1"/>
  <c r="GS4" i="27" s="1"/>
  <c r="GT4" i="27" s="1"/>
  <c r="GU4" i="27" s="1"/>
  <c r="GV4" i="27" s="1"/>
  <c r="GW4" i="27" s="1"/>
  <c r="GX4" i="27" s="1"/>
  <c r="GY4" i="27" s="1"/>
  <c r="GZ4" i="27" s="1"/>
  <c r="HA4" i="27" s="1"/>
  <c r="HB4" i="27" s="1"/>
  <c r="HC4" i="27" s="1"/>
  <c r="HD4" i="27" s="1"/>
  <c r="Y8" i="27"/>
  <c r="N41" i="27" l="1"/>
  <c r="M41" i="27"/>
  <c r="HE4" i="27"/>
  <c r="HF4" i="27" s="1"/>
  <c r="HG4" i="27" s="1"/>
  <c r="HH4" i="27" s="1"/>
  <c r="HI4" i="27" s="1"/>
  <c r="HJ4" i="27" s="1"/>
  <c r="HK4" i="27" s="1"/>
  <c r="HL4" i="27" s="1"/>
  <c r="HM4" i="27" s="1"/>
  <c r="HN4" i="27" s="1"/>
  <c r="HO4" i="27" s="1"/>
  <c r="HP4" i="27" s="1"/>
  <c r="HQ4" i="27" s="1"/>
  <c r="HR4" i="27" s="1"/>
  <c r="HS4" i="27" s="1"/>
  <c r="HT4" i="27" s="1"/>
  <c r="HU4" i="27" s="1"/>
  <c r="HV4" i="27" s="1"/>
  <c r="HW4" i="27" s="1"/>
  <c r="HX4" i="27" s="1"/>
  <c r="HY4" i="27" s="1"/>
  <c r="HZ4" i="27" s="1"/>
  <c r="IA4" i="27" s="1"/>
  <c r="IB4" i="27" s="1"/>
  <c r="IC4" i="27" s="1"/>
  <c r="ID4" i="27" s="1"/>
  <c r="IE4" i="27" s="1"/>
  <c r="IF4" i="27" s="1"/>
  <c r="IG4" i="27" s="1"/>
  <c r="IH4" i="27" s="1"/>
  <c r="B42" i="27"/>
  <c r="Z8" i="27"/>
  <c r="AA8" i="27" l="1"/>
  <c r="N42" i="27"/>
  <c r="II4" i="27"/>
  <c r="IJ4" i="27" s="1"/>
  <c r="IK4" i="27" s="1"/>
  <c r="IL4" i="27" s="1"/>
  <c r="IM4" i="27" s="1"/>
  <c r="IN4" i="27" s="1"/>
  <c r="IO4" i="27" s="1"/>
  <c r="IP4" i="27" s="1"/>
  <c r="IQ4" i="27" s="1"/>
  <c r="IR4" i="27" s="1"/>
  <c r="IS4" i="27" s="1"/>
  <c r="IT4" i="27" s="1"/>
  <c r="IU4" i="27" s="1"/>
  <c r="IV4" i="27" s="1"/>
  <c r="IW4" i="27" s="1"/>
  <c r="IX4" i="27" s="1"/>
  <c r="IY4" i="27" s="1"/>
  <c r="IZ4" i="27" s="1"/>
  <c r="JA4" i="27" s="1"/>
  <c r="JB4" i="27" s="1"/>
  <c r="JC4" i="27" s="1"/>
  <c r="JD4" i="27" s="1"/>
  <c r="JE4" i="27" s="1"/>
  <c r="JF4" i="27" s="1"/>
  <c r="JG4" i="27" s="1"/>
  <c r="JH4" i="27" s="1"/>
  <c r="JI4" i="27" s="1"/>
  <c r="JJ4" i="27" s="1"/>
  <c r="JK4" i="27" s="1"/>
  <c r="JL4" i="27" s="1"/>
  <c r="JM4" i="27" l="1"/>
  <c r="JN4" i="27" s="1"/>
  <c r="JO4" i="27" s="1"/>
  <c r="JP4" i="27" s="1"/>
  <c r="JQ4" i="27" s="1"/>
  <c r="JR4" i="27" s="1"/>
  <c r="JS4" i="27" s="1"/>
  <c r="JT4" i="27" s="1"/>
  <c r="JU4" i="27" s="1"/>
  <c r="JV4" i="27" s="1"/>
  <c r="JW4" i="27" s="1"/>
  <c r="JX4" i="27" s="1"/>
  <c r="JY4" i="27" s="1"/>
  <c r="JZ4" i="27" s="1"/>
  <c r="KA4" i="27" s="1"/>
  <c r="KB4" i="27" s="1"/>
  <c r="KC4" i="27" s="1"/>
  <c r="KD4" i="27" s="1"/>
  <c r="KE4" i="27" s="1"/>
  <c r="KF4" i="27" s="1"/>
  <c r="KG4" i="27" s="1"/>
  <c r="KH4" i="27" s="1"/>
  <c r="KI4" i="27" s="1"/>
  <c r="KJ4" i="27" s="1"/>
  <c r="KK4" i="27" s="1"/>
  <c r="KL4" i="27" s="1"/>
  <c r="KM4" i="27" s="1"/>
  <c r="KN4" i="27" s="1"/>
  <c r="KO4" i="27" s="1"/>
  <c r="A7" i="27" s="1"/>
  <c r="AB8" i="27"/>
  <c r="AC8" i="27" l="1"/>
  <c r="C37" i="13" l="1"/>
  <c r="D37" i="13" s="1"/>
  <c r="V27" i="16" l="1"/>
  <c r="U27" i="16"/>
  <c r="T27" i="16"/>
  <c r="S27" i="16"/>
  <c r="R27" i="16"/>
  <c r="Q27" i="16"/>
  <c r="P27" i="16"/>
  <c r="O27" i="16"/>
  <c r="N27" i="16"/>
  <c r="M27" i="16"/>
  <c r="L27" i="16"/>
  <c r="K27" i="16"/>
  <c r="J25" i="16"/>
  <c r="J24" i="16"/>
  <c r="AO33" i="16"/>
  <c r="AN33" i="16"/>
  <c r="AM33" i="16"/>
  <c r="AL33" i="16"/>
  <c r="AK33" i="16"/>
  <c r="AJ33" i="16"/>
  <c r="AI33" i="16"/>
  <c r="AH33" i="16"/>
  <c r="AG33" i="16"/>
  <c r="AF33" i="16"/>
  <c r="AE33" i="16"/>
  <c r="AD33" i="16"/>
  <c r="AO32" i="16"/>
  <c r="AN32" i="16"/>
  <c r="AM32" i="16"/>
  <c r="AL32" i="16"/>
  <c r="AK32" i="16"/>
  <c r="AJ32" i="16"/>
  <c r="AI32" i="16"/>
  <c r="AH32" i="16"/>
  <c r="AG32" i="16"/>
  <c r="AF32" i="16"/>
  <c r="AE32" i="16"/>
  <c r="AD32" i="16"/>
  <c r="Z31" i="16"/>
  <c r="AL24" i="16"/>
  <c r="AL23" i="16"/>
  <c r="AL16" i="16"/>
  <c r="AL17" i="16"/>
  <c r="AL31" i="16"/>
  <c r="AH31" i="16"/>
  <c r="AD31" i="16"/>
  <c r="AO30" i="16"/>
  <c r="AN30" i="16"/>
  <c r="AM30" i="16"/>
  <c r="AL30" i="16"/>
  <c r="AK30" i="16"/>
  <c r="AJ30" i="16"/>
  <c r="AI30" i="16"/>
  <c r="AH30" i="16"/>
  <c r="AG30" i="16"/>
  <c r="AF30" i="16"/>
  <c r="AE30" i="16"/>
  <c r="AD30" i="16"/>
  <c r="AO29" i="16"/>
  <c r="AN29" i="16"/>
  <c r="AM29" i="16"/>
  <c r="AL29" i="16"/>
  <c r="AK29" i="16"/>
  <c r="AJ29" i="16"/>
  <c r="AI29" i="16"/>
  <c r="AH29" i="16"/>
  <c r="AG29" i="16"/>
  <c r="AF29" i="16"/>
  <c r="AE29" i="16"/>
  <c r="AD29" i="16"/>
  <c r="AE18" i="16"/>
  <c r="AF18" i="16" s="1"/>
  <c r="AG18" i="16" s="1"/>
  <c r="AI18" i="16" s="1"/>
  <c r="AI31" i="16" s="1"/>
  <c r="AF34" i="13"/>
  <c r="AE34" i="13"/>
  <c r="S34" i="13"/>
  <c r="R34" i="13"/>
  <c r="U33" i="13"/>
  <c r="T33" i="13"/>
  <c r="S33" i="13"/>
  <c r="R33" i="13"/>
  <c r="S36" i="13"/>
  <c r="T36" i="13" s="1"/>
  <c r="U36" i="13" s="1"/>
  <c r="V36" i="13" s="1"/>
  <c r="W36" i="13" s="1"/>
  <c r="X36" i="13" s="1"/>
  <c r="Y36" i="13" s="1"/>
  <c r="Z36" i="13" s="1"/>
  <c r="AA36" i="13" s="1"/>
  <c r="AB36" i="13" s="1"/>
  <c r="AC36" i="13" s="1"/>
  <c r="R37" i="13"/>
  <c r="S32" i="13" s="1"/>
  <c r="S17" i="13"/>
  <c r="R17" i="13"/>
  <c r="T25" i="13"/>
  <c r="S25" i="13"/>
  <c r="U28" i="13"/>
  <c r="T28" i="13"/>
  <c r="X26" i="13"/>
  <c r="W26" i="13"/>
  <c r="V26" i="13"/>
  <c r="V27" i="13"/>
  <c r="U27" i="13"/>
  <c r="T27" i="13"/>
  <c r="T30" i="13"/>
  <c r="U25" i="13" s="1"/>
  <c r="U30" i="13" s="1"/>
  <c r="V25" i="13" s="1"/>
  <c r="S30" i="13"/>
  <c r="R30" i="13"/>
  <c r="T29" i="13"/>
  <c r="U29" i="13" s="1"/>
  <c r="S29" i="13"/>
  <c r="R25" i="13"/>
  <c r="AE16" i="13"/>
  <c r="AE14" i="13"/>
  <c r="AD14" i="13"/>
  <c r="AD16" i="13"/>
  <c r="P11" i="13"/>
  <c r="T5" i="13"/>
  <c r="T4" i="13"/>
  <c r="U6" i="13" s="1"/>
  <c r="T3" i="13"/>
  <c r="T6" i="13" l="1"/>
  <c r="S37" i="13"/>
  <c r="T32" i="13" s="1"/>
  <c r="T37" i="13" s="1"/>
  <c r="U32" i="13" s="1"/>
  <c r="U37" i="13" s="1"/>
  <c r="V32" i="13" s="1"/>
  <c r="V37" i="13" s="1"/>
  <c r="W32" i="13" s="1"/>
  <c r="W37" i="13" s="1"/>
  <c r="X32" i="13" s="1"/>
  <c r="X37" i="13" s="1"/>
  <c r="Y32" i="13" s="1"/>
  <c r="Y37" i="13" s="1"/>
  <c r="Z32" i="13" s="1"/>
  <c r="Z37" i="13" s="1"/>
  <c r="AA32" i="13" s="1"/>
  <c r="AA37" i="13" s="1"/>
  <c r="AB32" i="13" s="1"/>
  <c r="AB37" i="13" s="1"/>
  <c r="AC32" i="13" s="1"/>
  <c r="AC37" i="13" s="1"/>
  <c r="AC15" i="13" s="1"/>
  <c r="V30" i="13"/>
  <c r="W25" i="13" s="1"/>
  <c r="W30" i="13" s="1"/>
  <c r="U17" i="13"/>
  <c r="T17" i="13"/>
  <c r="R15" i="13"/>
  <c r="S15" i="13"/>
  <c r="AF31" i="16"/>
  <c r="AE31" i="16"/>
  <c r="AG31" i="16"/>
  <c r="AK18" i="16"/>
  <c r="AJ18" i="16"/>
  <c r="AJ31" i="16" s="1"/>
  <c r="S19" i="13"/>
  <c r="V29" i="13"/>
  <c r="S18" i="13"/>
  <c r="S20" i="13" s="1"/>
  <c r="W15" i="13" l="1"/>
  <c r="Z15" i="13"/>
  <c r="AA15" i="13"/>
  <c r="V15" i="13"/>
  <c r="Y15" i="13"/>
  <c r="U15" i="13"/>
  <c r="U18" i="13" s="1"/>
  <c r="AB15" i="13"/>
  <c r="X15" i="13"/>
  <c r="T15" i="13"/>
  <c r="T19" i="13" s="1"/>
  <c r="T18" i="13"/>
  <c r="T20" i="13" s="1"/>
  <c r="V17" i="13"/>
  <c r="V19" i="13" s="1"/>
  <c r="R18" i="13"/>
  <c r="R19" i="13"/>
  <c r="AM18" i="16"/>
  <c r="AK31" i="16"/>
  <c r="X25" i="13"/>
  <c r="X30" i="13" s="1"/>
  <c r="W17" i="13"/>
  <c r="W29" i="13"/>
  <c r="G8" i="14"/>
  <c r="U19" i="13" l="1"/>
  <c r="U20" i="13"/>
  <c r="R20" i="13"/>
  <c r="V18" i="13"/>
  <c r="V20" i="13" s="1"/>
  <c r="AN18" i="16"/>
  <c r="AM31" i="16"/>
  <c r="Y25" i="13"/>
  <c r="Y30" i="13" s="1"/>
  <c r="X17" i="13"/>
  <c r="X18" i="13" s="1"/>
  <c r="W19" i="13"/>
  <c r="W18" i="13"/>
  <c r="X29" i="13"/>
  <c r="Y29" i="13" s="1"/>
  <c r="Z29" i="13" s="1"/>
  <c r="AA29" i="13" s="1"/>
  <c r="AB29" i="13" s="1"/>
  <c r="AC29" i="13" s="1"/>
  <c r="G38" i="14"/>
  <c r="H38" i="14" s="1"/>
  <c r="V7" i="19"/>
  <c r="U7" i="19"/>
  <c r="AC7" i="19"/>
  <c r="B15" i="24" s="1"/>
  <c r="F15" i="24"/>
  <c r="V8" i="19"/>
  <c r="U8" i="19"/>
  <c r="I15" i="21" s="1"/>
  <c r="V9" i="19"/>
  <c r="U9" i="19"/>
  <c r="AC9" i="19"/>
  <c r="B17" i="24" s="1"/>
  <c r="F17" i="24" s="1"/>
  <c r="V10" i="19"/>
  <c r="U10" i="19"/>
  <c r="I17" i="21" s="1"/>
  <c r="V11" i="19"/>
  <c r="U11" i="19"/>
  <c r="AC11" i="19"/>
  <c r="B19" i="24" s="1"/>
  <c r="F19" i="24"/>
  <c r="V18" i="19"/>
  <c r="U18" i="19"/>
  <c r="O32" i="24" s="1"/>
  <c r="AK100" i="12"/>
  <c r="AK104" i="12"/>
  <c r="AL103" i="12"/>
  <c r="AL102" i="12"/>
  <c r="AL101" i="12"/>
  <c r="AL100" i="12"/>
  <c r="AK102" i="12"/>
  <c r="AK103" i="12"/>
  <c r="J31" i="23"/>
  <c r="U6" i="14"/>
  <c r="T7" i="14"/>
  <c r="S7" i="14"/>
  <c r="S32" i="24"/>
  <c r="P32" i="24"/>
  <c r="M32" i="24"/>
  <c r="P16" i="24"/>
  <c r="Y26" i="24"/>
  <c r="Z27" i="24" s="1"/>
  <c r="J27" i="24" s="1"/>
  <c r="L27" i="24" s="1"/>
  <c r="Y20" i="24"/>
  <c r="V18" i="9"/>
  <c r="P33" i="16" s="1"/>
  <c r="U18" i="9"/>
  <c r="O33" i="16" s="1"/>
  <c r="T18" i="9"/>
  <c r="N33" i="16" s="1"/>
  <c r="S18" i="9"/>
  <c r="M33" i="16" s="1"/>
  <c r="R18" i="9"/>
  <c r="L33" i="16" s="1"/>
  <c r="Q18" i="9"/>
  <c r="K33" i="16" s="1"/>
  <c r="F28" i="14" s="1"/>
  <c r="Q8" i="9"/>
  <c r="R8" i="9"/>
  <c r="S8" i="9"/>
  <c r="T8" i="9"/>
  <c r="U8" i="9"/>
  <c r="V8" i="9"/>
  <c r="V16" i="19"/>
  <c r="I102" i="22" s="1"/>
  <c r="I103" i="22"/>
  <c r="U16" i="19"/>
  <c r="H102" i="22"/>
  <c r="H103" i="22" s="1"/>
  <c r="V15" i="19"/>
  <c r="I93" i="22"/>
  <c r="I94" i="22" s="1"/>
  <c r="U15" i="19"/>
  <c r="H93" i="22" s="1"/>
  <c r="H94" i="22" s="1"/>
  <c r="V14" i="19"/>
  <c r="I83" i="22" s="1"/>
  <c r="I84" i="22" s="1"/>
  <c r="U14" i="19"/>
  <c r="H83" i="22"/>
  <c r="H84" i="22" s="1"/>
  <c r="V13" i="19"/>
  <c r="I73" i="22"/>
  <c r="I74" i="22" s="1"/>
  <c r="U13" i="19"/>
  <c r="H73" i="22" s="1"/>
  <c r="H74" i="22"/>
  <c r="V12" i="19"/>
  <c r="I63" i="22" s="1"/>
  <c r="I64" i="22"/>
  <c r="U12" i="19"/>
  <c r="H63" i="22"/>
  <c r="H64" i="22" s="1"/>
  <c r="T7" i="19"/>
  <c r="H14" i="21"/>
  <c r="T8" i="19"/>
  <c r="T9" i="19"/>
  <c r="H16" i="21"/>
  <c r="T10" i="19"/>
  <c r="H17" i="21" s="1"/>
  <c r="T11" i="19"/>
  <c r="H18" i="21"/>
  <c r="I14" i="21"/>
  <c r="I16" i="21"/>
  <c r="I18" i="21"/>
  <c r="J14" i="21"/>
  <c r="J15" i="21"/>
  <c r="J17" i="21"/>
  <c r="J18" i="21"/>
  <c r="W7" i="19"/>
  <c r="K14" i="21"/>
  <c r="W8" i="19"/>
  <c r="K15" i="21" s="1"/>
  <c r="W9" i="19"/>
  <c r="K16" i="21"/>
  <c r="W10" i="19"/>
  <c r="K17" i="21" s="1"/>
  <c r="W11" i="19"/>
  <c r="K18" i="21"/>
  <c r="X7" i="19"/>
  <c r="L14" i="21"/>
  <c r="X8" i="19"/>
  <c r="L15" i="21" s="1"/>
  <c r="X9" i="19"/>
  <c r="L16" i="21"/>
  <c r="X10" i="19"/>
  <c r="X11" i="19"/>
  <c r="L18" i="21"/>
  <c r="Y7" i="19"/>
  <c r="M14" i="21"/>
  <c r="Y8" i="19"/>
  <c r="M15" i="21" s="1"/>
  <c r="Y9" i="19"/>
  <c r="M16" i="21"/>
  <c r="Y10" i="19"/>
  <c r="M17" i="21" s="1"/>
  <c r="Y11" i="19"/>
  <c r="M18" i="21"/>
  <c r="Z7" i="19"/>
  <c r="N14" i="21"/>
  <c r="Z8" i="19"/>
  <c r="N15" i="21" s="1"/>
  <c r="Z9" i="19"/>
  <c r="N16" i="21"/>
  <c r="Z10" i="19"/>
  <c r="N17" i="21" s="1"/>
  <c r="Z11" i="19"/>
  <c r="N18" i="21"/>
  <c r="AA7" i="19"/>
  <c r="O14" i="21"/>
  <c r="AA8" i="19"/>
  <c r="O15" i="21" s="1"/>
  <c r="AA9" i="19"/>
  <c r="O16" i="21"/>
  <c r="AA10" i="19"/>
  <c r="O17" i="21" s="1"/>
  <c r="AA11" i="19"/>
  <c r="O18" i="21"/>
  <c r="AB7" i="19"/>
  <c r="P14" i="21"/>
  <c r="AB8" i="19"/>
  <c r="P15" i="21" s="1"/>
  <c r="AB9" i="19"/>
  <c r="P16" i="21"/>
  <c r="AB10" i="19"/>
  <c r="P17" i="21" s="1"/>
  <c r="AB11" i="19"/>
  <c r="P18" i="21"/>
  <c r="E30" i="23"/>
  <c r="F30" i="23"/>
  <c r="G30" i="23"/>
  <c r="H30" i="23"/>
  <c r="I30" i="23"/>
  <c r="J30" i="23"/>
  <c r="K30" i="23"/>
  <c r="L30" i="23"/>
  <c r="M30" i="23"/>
  <c r="N30" i="23"/>
  <c r="O30" i="23"/>
  <c r="E29" i="23"/>
  <c r="F29" i="23"/>
  <c r="G29" i="23"/>
  <c r="H29" i="23"/>
  <c r="I29" i="23"/>
  <c r="J29" i="23"/>
  <c r="K29" i="23"/>
  <c r="L29" i="23"/>
  <c r="M29" i="23"/>
  <c r="N29" i="23"/>
  <c r="O29" i="23"/>
  <c r="E28" i="18"/>
  <c r="F28" i="18" s="1"/>
  <c r="G28" i="18" s="1"/>
  <c r="H28" i="18" s="1"/>
  <c r="I28" i="18" s="1"/>
  <c r="J28" i="18" s="1"/>
  <c r="K28" i="18" s="1"/>
  <c r="L28" i="18" s="1"/>
  <c r="M28" i="18" s="1"/>
  <c r="N28" i="18" s="1"/>
  <c r="O28" i="18" s="1"/>
  <c r="O25" i="21"/>
  <c r="N25" i="21"/>
  <c r="M25" i="21"/>
  <c r="K25" i="21"/>
  <c r="O24" i="21"/>
  <c r="AH25" i="21" s="1"/>
  <c r="N24" i="21"/>
  <c r="M24" i="21"/>
  <c r="M32" i="21" s="1"/>
  <c r="L24" i="21"/>
  <c r="I24" i="21"/>
  <c r="G24" i="21"/>
  <c r="F24" i="21"/>
  <c r="E24" i="21"/>
  <c r="S11" i="19"/>
  <c r="G18" i="21"/>
  <c r="R11" i="19"/>
  <c r="F18" i="21"/>
  <c r="Q11" i="19"/>
  <c r="E18" i="21"/>
  <c r="S10" i="19"/>
  <c r="G17" i="21"/>
  <c r="R10" i="19"/>
  <c r="F17" i="21"/>
  <c r="Q10" i="19"/>
  <c r="E17" i="21"/>
  <c r="S9" i="19"/>
  <c r="G16" i="21"/>
  <c r="R9" i="19"/>
  <c r="F16" i="21"/>
  <c r="Q9" i="19"/>
  <c r="E16" i="21"/>
  <c r="S8" i="19"/>
  <c r="G15" i="21"/>
  <c r="R8" i="19"/>
  <c r="F15" i="21"/>
  <c r="Q8" i="19"/>
  <c r="E15" i="21"/>
  <c r="S7" i="19"/>
  <c r="G14" i="21"/>
  <c r="R7" i="19"/>
  <c r="F14" i="21"/>
  <c r="Q7" i="19"/>
  <c r="E14" i="21"/>
  <c r="P12" i="21"/>
  <c r="O12" i="21"/>
  <c r="O47" i="21" s="1"/>
  <c r="N14" i="2" s="1"/>
  <c r="N12" i="21"/>
  <c r="M12" i="21"/>
  <c r="M47" i="21" s="1"/>
  <c r="L14" i="2" s="1"/>
  <c r="L12" i="21"/>
  <c r="K12" i="21"/>
  <c r="K45" i="21" s="1"/>
  <c r="J12" i="2" s="1"/>
  <c r="J12" i="21"/>
  <c r="I12" i="21"/>
  <c r="I47" i="21" s="1"/>
  <c r="H14" i="2" s="1"/>
  <c r="H12" i="21"/>
  <c r="G12" i="21"/>
  <c r="F12" i="21"/>
  <c r="E12" i="21"/>
  <c r="W8" i="9"/>
  <c r="X8" i="9"/>
  <c r="Y8" i="9"/>
  <c r="Z8" i="9"/>
  <c r="AA8" i="9"/>
  <c r="AB8" i="9"/>
  <c r="W18" i="9"/>
  <c r="X18" i="9"/>
  <c r="R33" i="16" s="1"/>
  <c r="Y18" i="9"/>
  <c r="S33" i="16" s="1"/>
  <c r="Z18" i="9"/>
  <c r="T33" i="16" s="1"/>
  <c r="AA18" i="9"/>
  <c r="U33" i="16" s="1"/>
  <c r="AB18" i="9"/>
  <c r="V33" i="16" s="1"/>
  <c r="Q7" i="9"/>
  <c r="R7" i="9"/>
  <c r="S7" i="9"/>
  <c r="T7" i="9"/>
  <c r="U7" i="9"/>
  <c r="V7" i="9"/>
  <c r="V22" i="9" s="1"/>
  <c r="W7" i="9"/>
  <c r="X7" i="9"/>
  <c r="Y7" i="9"/>
  <c r="Z7" i="9"/>
  <c r="Z22" i="9" s="1"/>
  <c r="AA7" i="9"/>
  <c r="AB7" i="9"/>
  <c r="J5" i="16"/>
  <c r="J6" i="16"/>
  <c r="J7" i="16"/>
  <c r="J8" i="16"/>
  <c r="Q9" i="9"/>
  <c r="E16" i="1" s="1"/>
  <c r="R9" i="9"/>
  <c r="F16" i="1" s="1"/>
  <c r="F46" i="1" s="1"/>
  <c r="S9" i="9"/>
  <c r="G16" i="1" s="1"/>
  <c r="G46" i="1" s="1"/>
  <c r="F8" i="2" s="1"/>
  <c r="T9" i="9"/>
  <c r="H16" i="1" s="1"/>
  <c r="H46" i="1" s="1"/>
  <c r="G8" i="2" s="1"/>
  <c r="U9" i="9"/>
  <c r="I16" i="1" s="1"/>
  <c r="I46" i="1" s="1"/>
  <c r="H8" i="2" s="1"/>
  <c r="V9" i="9"/>
  <c r="J16" i="1" s="1"/>
  <c r="J46" i="1" s="1"/>
  <c r="I8" i="2" s="1"/>
  <c r="W9" i="9"/>
  <c r="K16" i="1" s="1"/>
  <c r="K46" i="1" s="1"/>
  <c r="J8" i="2" s="1"/>
  <c r="X9" i="9"/>
  <c r="L16" i="1" s="1"/>
  <c r="L46" i="1" s="1"/>
  <c r="K8" i="2" s="1"/>
  <c r="Y9" i="9"/>
  <c r="M16" i="1" s="1"/>
  <c r="M46" i="1" s="1"/>
  <c r="L8" i="2" s="1"/>
  <c r="Z9" i="9"/>
  <c r="N16" i="1" s="1"/>
  <c r="N46" i="1" s="1"/>
  <c r="M8" i="2" s="1"/>
  <c r="AA9" i="9"/>
  <c r="O16" i="1" s="1"/>
  <c r="O46" i="1" s="1"/>
  <c r="N8" i="2" s="1"/>
  <c r="AB9" i="9"/>
  <c r="P16" i="1" s="1"/>
  <c r="P46" i="1" s="1"/>
  <c r="O8" i="2" s="1"/>
  <c r="P5" i="16"/>
  <c r="P6" i="16"/>
  <c r="P7" i="16"/>
  <c r="Q10" i="9"/>
  <c r="E17" i="1" s="1"/>
  <c r="E47" i="1" s="1"/>
  <c r="D9" i="2" s="1"/>
  <c r="R10" i="9"/>
  <c r="S10" i="9"/>
  <c r="G17" i="1" s="1"/>
  <c r="G47" i="1" s="1"/>
  <c r="F9" i="2" s="1"/>
  <c r="T10" i="9"/>
  <c r="H17" i="1" s="1"/>
  <c r="H47" i="1" s="1"/>
  <c r="G9" i="2" s="1"/>
  <c r="U10" i="9"/>
  <c r="I17" i="1" s="1"/>
  <c r="I47" i="1" s="1"/>
  <c r="H9" i="2" s="1"/>
  <c r="V10" i="9"/>
  <c r="J17" i="1" s="1"/>
  <c r="J47" i="1" s="1"/>
  <c r="I9" i="2" s="1"/>
  <c r="W10" i="9"/>
  <c r="K17" i="1" s="1"/>
  <c r="K47" i="1" s="1"/>
  <c r="J9" i="2" s="1"/>
  <c r="X10" i="9"/>
  <c r="L17" i="1" s="1"/>
  <c r="L47" i="1" s="1"/>
  <c r="K9" i="2" s="1"/>
  <c r="Y10" i="9"/>
  <c r="M17" i="1" s="1"/>
  <c r="M47" i="1" s="1"/>
  <c r="L9" i="2" s="1"/>
  <c r="Z10" i="9"/>
  <c r="AA10" i="9"/>
  <c r="O17" i="1" s="1"/>
  <c r="O47" i="1" s="1"/>
  <c r="N9" i="2" s="1"/>
  <c r="AB10" i="9"/>
  <c r="P17" i="1" s="1"/>
  <c r="P47" i="1" s="1"/>
  <c r="O9" i="2" s="1"/>
  <c r="Q11" i="9"/>
  <c r="Q24" i="9" s="1"/>
  <c r="R11" i="9"/>
  <c r="S11" i="9"/>
  <c r="S24" i="9" s="1"/>
  <c r="T11" i="9"/>
  <c r="U11" i="9"/>
  <c r="V11" i="9"/>
  <c r="W11" i="9"/>
  <c r="W24" i="9" s="1"/>
  <c r="X11" i="9"/>
  <c r="Y11" i="9"/>
  <c r="Y24" i="9" s="1"/>
  <c r="Z11" i="9"/>
  <c r="AA11" i="9"/>
  <c r="AB11" i="9"/>
  <c r="D8" i="16"/>
  <c r="D9" i="16"/>
  <c r="E15" i="24"/>
  <c r="J5" i="24"/>
  <c r="J6" i="24"/>
  <c r="J12" i="24"/>
  <c r="E16" i="24"/>
  <c r="E17" i="24"/>
  <c r="P5" i="24"/>
  <c r="P6" i="24"/>
  <c r="P7" i="24"/>
  <c r="P12" i="24"/>
  <c r="E18" i="24"/>
  <c r="E19" i="24"/>
  <c r="Q18" i="19"/>
  <c r="R18" i="19"/>
  <c r="L32" i="24" s="1"/>
  <c r="S18" i="19"/>
  <c r="T18" i="19"/>
  <c r="N32" i="24" s="1"/>
  <c r="W18" i="19"/>
  <c r="Q32" i="24" s="1"/>
  <c r="X18" i="19"/>
  <c r="R32" i="24" s="1"/>
  <c r="Y18" i="19"/>
  <c r="Z18" i="19"/>
  <c r="T32" i="24" s="1"/>
  <c r="AA18" i="19"/>
  <c r="U32" i="24" s="1"/>
  <c r="AB18" i="19"/>
  <c r="V32" i="24" s="1"/>
  <c r="D8" i="24"/>
  <c r="D9" i="24"/>
  <c r="D12" i="24"/>
  <c r="E20" i="24"/>
  <c r="Q13" i="14"/>
  <c r="P13" i="14"/>
  <c r="O13" i="14"/>
  <c r="N13" i="14"/>
  <c r="M13" i="14"/>
  <c r="L13" i="14"/>
  <c r="K13" i="14"/>
  <c r="J13" i="14"/>
  <c r="I13" i="14"/>
  <c r="H13" i="14"/>
  <c r="G13" i="14"/>
  <c r="F13" i="14"/>
  <c r="T77" i="12"/>
  <c r="T78" i="12"/>
  <c r="D76" i="12"/>
  <c r="T87" i="12"/>
  <c r="T88" i="12"/>
  <c r="D86" i="12"/>
  <c r="T97" i="12"/>
  <c r="T98" i="12"/>
  <c r="D96" i="12"/>
  <c r="T106" i="12"/>
  <c r="T107" i="12"/>
  <c r="D105" i="12"/>
  <c r="T115" i="12"/>
  <c r="T116" i="12"/>
  <c r="D114" i="12"/>
  <c r="T67" i="12"/>
  <c r="T68" i="12" s="1"/>
  <c r="E66" i="12" s="1"/>
  <c r="C34" i="20"/>
  <c r="E58" i="21" s="1"/>
  <c r="C32" i="20"/>
  <c r="E59" i="21" s="1"/>
  <c r="D1" i="23"/>
  <c r="C29" i="20"/>
  <c r="C30" i="20"/>
  <c r="E60" i="21" s="1"/>
  <c r="C14" i="20"/>
  <c r="C10" i="20"/>
  <c r="C18" i="20" s="1"/>
  <c r="E56" i="21" s="1"/>
  <c r="E102" i="21"/>
  <c r="E103" i="21"/>
  <c r="C23" i="20"/>
  <c r="C24" i="20"/>
  <c r="C26" i="20"/>
  <c r="E73" i="21"/>
  <c r="E45" i="21"/>
  <c r="E47" i="21"/>
  <c r="E49" i="21"/>
  <c r="E50" i="21"/>
  <c r="E21" i="21"/>
  <c r="E1" i="23"/>
  <c r="D29" i="20"/>
  <c r="D30" i="20" s="1"/>
  <c r="E32" i="23"/>
  <c r="E31" i="23"/>
  <c r="D14" i="20"/>
  <c r="D3" i="20"/>
  <c r="D10" i="20" s="1"/>
  <c r="F102" i="21"/>
  <c r="F103" i="21"/>
  <c r="F101" i="21"/>
  <c r="D23" i="20"/>
  <c r="D24" i="20"/>
  <c r="D26" i="20"/>
  <c r="F73" i="21"/>
  <c r="F76" i="21"/>
  <c r="F77" i="21"/>
  <c r="F45" i="21"/>
  <c r="F47" i="21"/>
  <c r="F49" i="21"/>
  <c r="F50" i="21"/>
  <c r="F21" i="21"/>
  <c r="F1" i="23"/>
  <c r="E29" i="20"/>
  <c r="F32" i="23"/>
  <c r="F31" i="23"/>
  <c r="E14" i="20"/>
  <c r="E13" i="20"/>
  <c r="G102" i="21"/>
  <c r="G103" i="21"/>
  <c r="E23" i="20"/>
  <c r="E24" i="20"/>
  <c r="E26" i="20"/>
  <c r="G73" i="21"/>
  <c r="G76" i="21"/>
  <c r="G77" i="21"/>
  <c r="G44" i="21"/>
  <c r="F11" i="2" s="1"/>
  <c r="G45" i="21"/>
  <c r="G46" i="21"/>
  <c r="G47" i="21"/>
  <c r="G48" i="21"/>
  <c r="G49" i="21"/>
  <c r="G50" i="21"/>
  <c r="G21" i="21"/>
  <c r="F29" i="20"/>
  <c r="G32" i="23"/>
  <c r="F14" i="20"/>
  <c r="F13" i="20"/>
  <c r="H102" i="21"/>
  <c r="H103" i="21"/>
  <c r="F23" i="20"/>
  <c r="F24" i="20"/>
  <c r="F26" i="20"/>
  <c r="H73" i="21"/>
  <c r="H76" i="21"/>
  <c r="H77" i="21"/>
  <c r="H49" i="21"/>
  <c r="H50" i="21"/>
  <c r="H1" i="23"/>
  <c r="G29" i="20"/>
  <c r="H32" i="23"/>
  <c r="H31" i="23"/>
  <c r="G14" i="20"/>
  <c r="G13" i="20"/>
  <c r="I102" i="21"/>
  <c r="I103" i="21"/>
  <c r="G23" i="20"/>
  <c r="G24" i="20"/>
  <c r="G26" i="20"/>
  <c r="I73" i="21"/>
  <c r="I76" i="21"/>
  <c r="I77" i="21"/>
  <c r="I49" i="21"/>
  <c r="I50" i="21"/>
  <c r="I1" i="23"/>
  <c r="H29" i="20"/>
  <c r="I32" i="23"/>
  <c r="I31" i="23"/>
  <c r="H14" i="20"/>
  <c r="H13" i="20"/>
  <c r="J102" i="21"/>
  <c r="J103" i="21"/>
  <c r="H23" i="20"/>
  <c r="H24" i="20"/>
  <c r="H26" i="20"/>
  <c r="J73" i="21"/>
  <c r="J76" i="21"/>
  <c r="J77" i="21"/>
  <c r="J49" i="21"/>
  <c r="J50" i="21"/>
  <c r="J1" i="23"/>
  <c r="I29" i="20"/>
  <c r="J32" i="23"/>
  <c r="I14" i="20"/>
  <c r="I13" i="20"/>
  <c r="K102" i="21"/>
  <c r="K103" i="21"/>
  <c r="I23" i="20"/>
  <c r="I24" i="20"/>
  <c r="I26" i="20"/>
  <c r="K73" i="21"/>
  <c r="K76" i="21"/>
  <c r="K77" i="21"/>
  <c r="K49" i="21"/>
  <c r="K50" i="21"/>
  <c r="K21" i="21"/>
  <c r="K1" i="23"/>
  <c r="J29" i="20"/>
  <c r="K32" i="23"/>
  <c r="K31" i="23"/>
  <c r="J14" i="20"/>
  <c r="L102" i="21"/>
  <c r="L103" i="21"/>
  <c r="J23" i="20"/>
  <c r="J24" i="20"/>
  <c r="J26" i="20"/>
  <c r="L73" i="21"/>
  <c r="L76" i="21"/>
  <c r="L77" i="21"/>
  <c r="L49" i="21"/>
  <c r="L50" i="21"/>
  <c r="L1" i="23"/>
  <c r="K29" i="20"/>
  <c r="L32" i="23"/>
  <c r="L31" i="23"/>
  <c r="K14" i="20"/>
  <c r="M102" i="21"/>
  <c r="M103" i="21"/>
  <c r="K23" i="20"/>
  <c r="K24" i="20"/>
  <c r="K26" i="20"/>
  <c r="M73" i="21"/>
  <c r="M76" i="21"/>
  <c r="M77" i="21"/>
  <c r="M49" i="21"/>
  <c r="M50" i="21"/>
  <c r="M21" i="21"/>
  <c r="M1" i="23"/>
  <c r="L29" i="20"/>
  <c r="M32" i="23"/>
  <c r="M31" i="23"/>
  <c r="L14" i="20"/>
  <c r="N102" i="21"/>
  <c r="N103" i="21"/>
  <c r="L23" i="20"/>
  <c r="L24" i="20"/>
  <c r="L26" i="20"/>
  <c r="N73" i="21"/>
  <c r="N76" i="21"/>
  <c r="N77" i="21"/>
  <c r="N49" i="21"/>
  <c r="N50" i="21"/>
  <c r="M29" i="20"/>
  <c r="N32" i="23"/>
  <c r="N31" i="23"/>
  <c r="M14" i="20"/>
  <c r="O102" i="21"/>
  <c r="O103" i="21"/>
  <c r="M23" i="20"/>
  <c r="M24" i="20"/>
  <c r="M26" i="20"/>
  <c r="O73" i="21"/>
  <c r="O76" i="21"/>
  <c r="O77" i="21"/>
  <c r="O49" i="21"/>
  <c r="O50" i="21"/>
  <c r="O1" i="23"/>
  <c r="N29" i="20"/>
  <c r="O32" i="23"/>
  <c r="O31" i="23"/>
  <c r="N14" i="20"/>
  <c r="P102" i="21"/>
  <c r="P103" i="21"/>
  <c r="N23" i="20"/>
  <c r="N24" i="20"/>
  <c r="N26" i="20"/>
  <c r="P73" i="21"/>
  <c r="P76" i="21"/>
  <c r="P77" i="21"/>
  <c r="P49" i="21"/>
  <c r="P50" i="21"/>
  <c r="Q17" i="19"/>
  <c r="D111" i="22" s="1"/>
  <c r="D112" i="22"/>
  <c r="D116" i="22" s="1"/>
  <c r="D113" i="22"/>
  <c r="D115" i="22"/>
  <c r="R17" i="19"/>
  <c r="E111" i="22" s="1"/>
  <c r="E112" i="22"/>
  <c r="E113" i="22"/>
  <c r="E115" i="22"/>
  <c r="S17" i="19"/>
  <c r="F111" i="22" s="1"/>
  <c r="F112" i="22"/>
  <c r="F113" i="22"/>
  <c r="F115" i="22"/>
  <c r="T17" i="19"/>
  <c r="G111" i="22" s="1"/>
  <c r="G112" i="22"/>
  <c r="G113" i="22"/>
  <c r="G115" i="22"/>
  <c r="U17" i="19"/>
  <c r="H111" i="22" s="1"/>
  <c r="H112" i="22"/>
  <c r="H113" i="22"/>
  <c r="H115" i="22"/>
  <c r="V17" i="19"/>
  <c r="I111" i="22" s="1"/>
  <c r="I112" i="22"/>
  <c r="I113" i="22"/>
  <c r="I115" i="22"/>
  <c r="W17" i="19"/>
  <c r="J111" i="22" s="1"/>
  <c r="J112" i="22"/>
  <c r="J113" i="22"/>
  <c r="J115" i="22"/>
  <c r="X17" i="19"/>
  <c r="K111" i="22" s="1"/>
  <c r="K112" i="22"/>
  <c r="K113" i="22"/>
  <c r="K115" i="22"/>
  <c r="Y17" i="19"/>
  <c r="L111" i="22" s="1"/>
  <c r="L112" i="22"/>
  <c r="L113" i="22"/>
  <c r="L115" i="22"/>
  <c r="Z17" i="19"/>
  <c r="M111" i="22" s="1"/>
  <c r="M112" i="22"/>
  <c r="M113" i="22"/>
  <c r="M115" i="22"/>
  <c r="AA17" i="19"/>
  <c r="N111" i="22" s="1"/>
  <c r="N112" i="22"/>
  <c r="N113" i="22"/>
  <c r="N115" i="22"/>
  <c r="AB17" i="19"/>
  <c r="O111" i="22" s="1"/>
  <c r="O112" i="22"/>
  <c r="O113" i="22"/>
  <c r="O115" i="22"/>
  <c r="Q16" i="19"/>
  <c r="D102" i="22" s="1"/>
  <c r="D103" i="22" s="1"/>
  <c r="D104" i="22"/>
  <c r="D106" i="22"/>
  <c r="R16" i="19"/>
  <c r="E102" i="22" s="1"/>
  <c r="E103" i="22" s="1"/>
  <c r="E104" i="22"/>
  <c r="E106" i="22"/>
  <c r="S16" i="19"/>
  <c r="F102" i="22" s="1"/>
  <c r="F103" i="22" s="1"/>
  <c r="F104" i="22"/>
  <c r="F106" i="22"/>
  <c r="T16" i="19"/>
  <c r="G102" i="22" s="1"/>
  <c r="G103" i="22" s="1"/>
  <c r="G104" i="22"/>
  <c r="G106" i="22"/>
  <c r="H104" i="22"/>
  <c r="H106" i="22"/>
  <c r="I104" i="22"/>
  <c r="I106" i="22"/>
  <c r="W16" i="19"/>
  <c r="J102" i="22" s="1"/>
  <c r="J103" i="22"/>
  <c r="J104" i="22"/>
  <c r="J106" i="22"/>
  <c r="X16" i="19"/>
  <c r="K102" i="22" s="1"/>
  <c r="K103" i="22"/>
  <c r="K104" i="22"/>
  <c r="K106" i="22"/>
  <c r="Y16" i="19"/>
  <c r="L102" i="22" s="1"/>
  <c r="L103" i="22"/>
  <c r="L104" i="22"/>
  <c r="L106" i="22"/>
  <c r="Z16" i="19"/>
  <c r="M102" i="22" s="1"/>
  <c r="M103" i="22"/>
  <c r="M104" i="22"/>
  <c r="M106" i="22"/>
  <c r="AA16" i="19"/>
  <c r="N102" i="22" s="1"/>
  <c r="N103" i="22"/>
  <c r="N104" i="22"/>
  <c r="N106" i="22"/>
  <c r="AB16" i="19"/>
  <c r="O102" i="22" s="1"/>
  <c r="O103" i="22"/>
  <c r="O104" i="22"/>
  <c r="O106" i="22"/>
  <c r="Q15" i="19"/>
  <c r="D93" i="22" s="1"/>
  <c r="D94" i="22" s="1"/>
  <c r="D95" i="22"/>
  <c r="D97" i="22"/>
  <c r="R15" i="19"/>
  <c r="E93" i="22" s="1"/>
  <c r="E94" i="22" s="1"/>
  <c r="E95" i="22"/>
  <c r="E97" i="22"/>
  <c r="S15" i="19"/>
  <c r="F93" i="22" s="1"/>
  <c r="F94" i="22" s="1"/>
  <c r="F95" i="22"/>
  <c r="F97" i="22"/>
  <c r="T15" i="19"/>
  <c r="G93" i="22" s="1"/>
  <c r="G94" i="22" s="1"/>
  <c r="G95" i="22"/>
  <c r="G97" i="22"/>
  <c r="H95" i="22"/>
  <c r="H97" i="22"/>
  <c r="I95" i="22"/>
  <c r="I97" i="22"/>
  <c r="W15" i="19"/>
  <c r="J93" i="22" s="1"/>
  <c r="J94" i="22"/>
  <c r="J95" i="22"/>
  <c r="J97" i="22"/>
  <c r="X15" i="19"/>
  <c r="K93" i="22" s="1"/>
  <c r="K94" i="22"/>
  <c r="K95" i="22"/>
  <c r="K97" i="22"/>
  <c r="Y15" i="19"/>
  <c r="L93" i="22" s="1"/>
  <c r="L94" i="22"/>
  <c r="L95" i="22"/>
  <c r="L97" i="22"/>
  <c r="Z15" i="19"/>
  <c r="M93" i="22" s="1"/>
  <c r="M94" i="22"/>
  <c r="M95" i="22"/>
  <c r="M97" i="22"/>
  <c r="AA15" i="19"/>
  <c r="N93" i="22" s="1"/>
  <c r="N94" i="22"/>
  <c r="N95" i="22"/>
  <c r="N97" i="22"/>
  <c r="AB15" i="19"/>
  <c r="O93" i="22" s="1"/>
  <c r="O94" i="22"/>
  <c r="O95" i="22"/>
  <c r="O97" i="22"/>
  <c r="Q14" i="19"/>
  <c r="D83" i="22" s="1"/>
  <c r="D84" i="22" s="1"/>
  <c r="D85" i="22"/>
  <c r="D87" i="22"/>
  <c r="R14" i="19"/>
  <c r="E83" i="22" s="1"/>
  <c r="E84" i="22" s="1"/>
  <c r="E85" i="22"/>
  <c r="E87" i="22"/>
  <c r="S14" i="19"/>
  <c r="F83" i="22" s="1"/>
  <c r="F84" i="22" s="1"/>
  <c r="F85" i="22"/>
  <c r="F87" i="22"/>
  <c r="T14" i="19"/>
  <c r="G83" i="22" s="1"/>
  <c r="G84" i="22" s="1"/>
  <c r="G85" i="22"/>
  <c r="G87" i="22"/>
  <c r="H85" i="22"/>
  <c r="H87" i="22"/>
  <c r="I85" i="22"/>
  <c r="I87" i="22"/>
  <c r="W14" i="19"/>
  <c r="J83" i="22" s="1"/>
  <c r="J84" i="22"/>
  <c r="J85" i="22"/>
  <c r="J87" i="22"/>
  <c r="X14" i="19"/>
  <c r="K83" i="22" s="1"/>
  <c r="K84" i="22"/>
  <c r="K85" i="22"/>
  <c r="K87" i="22"/>
  <c r="Y14" i="19"/>
  <c r="L83" i="22" s="1"/>
  <c r="L84" i="22"/>
  <c r="L85" i="22"/>
  <c r="L87" i="22"/>
  <c r="Z14" i="19"/>
  <c r="M83" i="22" s="1"/>
  <c r="M84" i="22"/>
  <c r="M85" i="22"/>
  <c r="M87" i="22"/>
  <c r="AA14" i="19"/>
  <c r="N83" i="22" s="1"/>
  <c r="N84" i="22"/>
  <c r="N85" i="22"/>
  <c r="N87" i="22"/>
  <c r="AB14" i="19"/>
  <c r="O83" i="22" s="1"/>
  <c r="O84" i="22"/>
  <c r="O85" i="22"/>
  <c r="O87" i="22"/>
  <c r="E75" i="22"/>
  <c r="E77" i="22"/>
  <c r="D75" i="22"/>
  <c r="D77" i="22"/>
  <c r="Q13" i="19"/>
  <c r="D73" i="22" s="1"/>
  <c r="D74" i="22" s="1"/>
  <c r="R13" i="19"/>
  <c r="E73" i="22" s="1"/>
  <c r="E74" i="22" s="1"/>
  <c r="S13" i="19"/>
  <c r="F73" i="22" s="1"/>
  <c r="F74" i="22" s="1"/>
  <c r="F75" i="22"/>
  <c r="F77" i="22"/>
  <c r="T13" i="19"/>
  <c r="G73" i="22" s="1"/>
  <c r="G74" i="22" s="1"/>
  <c r="G75" i="22"/>
  <c r="G77" i="22"/>
  <c r="H75" i="22"/>
  <c r="H77" i="22"/>
  <c r="I75" i="22"/>
  <c r="I77" i="22"/>
  <c r="W13" i="19"/>
  <c r="J73" i="22" s="1"/>
  <c r="J74" i="22"/>
  <c r="J75" i="22"/>
  <c r="J77" i="22"/>
  <c r="X13" i="19"/>
  <c r="K73" i="22" s="1"/>
  <c r="K74" i="22"/>
  <c r="K75" i="22"/>
  <c r="K77" i="22"/>
  <c r="Y13" i="19"/>
  <c r="L73" i="22" s="1"/>
  <c r="L74" i="22"/>
  <c r="L75" i="22"/>
  <c r="L77" i="22"/>
  <c r="Z13" i="19"/>
  <c r="M73" i="22" s="1"/>
  <c r="M74" i="22"/>
  <c r="M75" i="22"/>
  <c r="M77" i="22"/>
  <c r="AA13" i="19"/>
  <c r="N73" i="22" s="1"/>
  <c r="N74" i="22"/>
  <c r="N75" i="22"/>
  <c r="N77" i="22"/>
  <c r="AB13" i="19"/>
  <c r="O73" i="22" s="1"/>
  <c r="O74" i="22"/>
  <c r="O75" i="22"/>
  <c r="O77" i="22"/>
  <c r="D65" i="22"/>
  <c r="D67" i="22"/>
  <c r="Q12" i="19"/>
  <c r="D63" i="22" s="1"/>
  <c r="D64" i="22" s="1"/>
  <c r="E65" i="22"/>
  <c r="E67" i="22"/>
  <c r="R12" i="19"/>
  <c r="E63" i="22" s="1"/>
  <c r="E64" i="22" s="1"/>
  <c r="S12" i="19"/>
  <c r="F63" i="22" s="1"/>
  <c r="F64" i="22" s="1"/>
  <c r="F65" i="22"/>
  <c r="F67" i="22"/>
  <c r="T12" i="19"/>
  <c r="G63" i="22" s="1"/>
  <c r="G64" i="22" s="1"/>
  <c r="G65" i="22"/>
  <c r="G67" i="22"/>
  <c r="H65" i="22"/>
  <c r="H67" i="22"/>
  <c r="I65" i="22"/>
  <c r="I67" i="22"/>
  <c r="W12" i="19"/>
  <c r="J63" i="22" s="1"/>
  <c r="J64" i="22"/>
  <c r="J65" i="22"/>
  <c r="J67" i="22"/>
  <c r="X12" i="19"/>
  <c r="K63" i="22" s="1"/>
  <c r="K64" i="22"/>
  <c r="K65" i="22"/>
  <c r="K67" i="22"/>
  <c r="Y12" i="19"/>
  <c r="L63" i="22" s="1"/>
  <c r="L64" i="22"/>
  <c r="L65" i="22"/>
  <c r="L67" i="22"/>
  <c r="Z12" i="19"/>
  <c r="M63" i="22" s="1"/>
  <c r="M64" i="22"/>
  <c r="M65" i="22"/>
  <c r="M67" i="22"/>
  <c r="AA12" i="19"/>
  <c r="N63" i="22" s="1"/>
  <c r="N64" i="22"/>
  <c r="N65" i="22"/>
  <c r="N67" i="22"/>
  <c r="AB12" i="19"/>
  <c r="O63" i="22" s="1"/>
  <c r="O64" i="22"/>
  <c r="O65" i="22"/>
  <c r="O67" i="22"/>
  <c r="C4" i="25"/>
  <c r="C14" i="13"/>
  <c r="C13" i="13"/>
  <c r="C15" i="13" s="1"/>
  <c r="D14" i="13"/>
  <c r="D13" i="13"/>
  <c r="E14" i="13"/>
  <c r="E13" i="13"/>
  <c r="F14" i="13"/>
  <c r="F13" i="13"/>
  <c r="G14" i="13"/>
  <c r="G13" i="13"/>
  <c r="H14" i="13"/>
  <c r="H13" i="13"/>
  <c r="I14" i="13"/>
  <c r="I13" i="13"/>
  <c r="J14" i="13"/>
  <c r="J13" i="13"/>
  <c r="K14" i="13"/>
  <c r="K13" i="13"/>
  <c r="L14" i="13"/>
  <c r="L13" i="13"/>
  <c r="M14" i="13"/>
  <c r="M13" i="13"/>
  <c r="N14" i="13"/>
  <c r="N13" i="13"/>
  <c r="O1" i="18"/>
  <c r="N26" i="27" s="1"/>
  <c r="N1" i="18"/>
  <c r="M26" i="27" s="1"/>
  <c r="M1" i="18"/>
  <c r="L26" i="27" s="1"/>
  <c r="L1" i="18"/>
  <c r="K26" i="27" s="1"/>
  <c r="K1" i="18"/>
  <c r="J26" i="27" s="1"/>
  <c r="J1" i="18"/>
  <c r="I26" i="27" s="1"/>
  <c r="I1" i="18"/>
  <c r="H26" i="27" s="1"/>
  <c r="H1" i="18"/>
  <c r="G26" i="27" s="1"/>
  <c r="G1" i="18"/>
  <c r="F26" i="27" s="1"/>
  <c r="F1" i="18"/>
  <c r="E26" i="27" s="1"/>
  <c r="E1" i="18"/>
  <c r="D26" i="27" s="1"/>
  <c r="D1" i="18"/>
  <c r="C26" i="27" s="1"/>
  <c r="P101" i="21"/>
  <c r="O101" i="21"/>
  <c r="N101" i="21"/>
  <c r="M101" i="21"/>
  <c r="L101" i="21"/>
  <c r="K101" i="21"/>
  <c r="J101" i="21"/>
  <c r="I101" i="21"/>
  <c r="H101" i="21"/>
  <c r="G101" i="21"/>
  <c r="E101" i="21"/>
  <c r="N52" i="12"/>
  <c r="N52" i="22"/>
  <c r="Q22" i="14"/>
  <c r="M52" i="12"/>
  <c r="M52" i="22"/>
  <c r="P22" i="14"/>
  <c r="L52" i="12"/>
  <c r="L52" i="22"/>
  <c r="O22" i="14"/>
  <c r="K52" i="12"/>
  <c r="N22" i="14" s="1"/>
  <c r="K52" i="22"/>
  <c r="J52" i="12"/>
  <c r="J52" i="22"/>
  <c r="M22" i="14"/>
  <c r="I52" i="12"/>
  <c r="I52" i="22"/>
  <c r="H52" i="12"/>
  <c r="H52" i="22"/>
  <c r="K22" i="14"/>
  <c r="G52" i="22"/>
  <c r="G52" i="12"/>
  <c r="J22" i="14" s="1"/>
  <c r="F52" i="12"/>
  <c r="F52" i="22"/>
  <c r="E52" i="12"/>
  <c r="E52" i="22"/>
  <c r="H22" i="14"/>
  <c r="C52" i="12"/>
  <c r="C52" i="22"/>
  <c r="D52" i="12"/>
  <c r="D52" i="22"/>
  <c r="G22" i="14"/>
  <c r="AE10" i="18"/>
  <c r="AI10" i="18"/>
  <c r="AI11" i="18"/>
  <c r="T11" i="18" s="1"/>
  <c r="AD10" i="18"/>
  <c r="T9" i="18"/>
  <c r="AF9" i="18" s="1"/>
  <c r="T10" i="18"/>
  <c r="U9" i="18"/>
  <c r="U10" i="18"/>
  <c r="V9" i="18"/>
  <c r="V10" i="18"/>
  <c r="AF10" i="18" s="1"/>
  <c r="W9" i="18"/>
  <c r="W10" i="18"/>
  <c r="X9" i="18"/>
  <c r="X10" i="18"/>
  <c r="Y9" i="18"/>
  <c r="Y10" i="18"/>
  <c r="Z9" i="18"/>
  <c r="Z10" i="18"/>
  <c r="AA9" i="18"/>
  <c r="AA10" i="18"/>
  <c r="AB9" i="18"/>
  <c r="AB10" i="18"/>
  <c r="AC9" i="18"/>
  <c r="AC10" i="18"/>
  <c r="AD9" i="18"/>
  <c r="AE9" i="18"/>
  <c r="B101" i="2"/>
  <c r="B100" i="2"/>
  <c r="B99" i="2"/>
  <c r="B98" i="2"/>
  <c r="B97" i="2"/>
  <c r="F15" i="2"/>
  <c r="F14" i="2"/>
  <c r="E14" i="2"/>
  <c r="D14" i="2"/>
  <c r="F13" i="2"/>
  <c r="F12" i="2"/>
  <c r="E12" i="2"/>
  <c r="D12" i="2"/>
  <c r="B15" i="2"/>
  <c r="B14" i="2"/>
  <c r="B13" i="2"/>
  <c r="B12" i="2"/>
  <c r="B11" i="2"/>
  <c r="T16" i="23"/>
  <c r="T18" i="23"/>
  <c r="T19" i="23"/>
  <c r="U16" i="23"/>
  <c r="U18" i="23"/>
  <c r="U19" i="23"/>
  <c r="V16" i="23"/>
  <c r="V18" i="23"/>
  <c r="V19" i="23"/>
  <c r="W16" i="23"/>
  <c r="W18" i="23"/>
  <c r="W19" i="23"/>
  <c r="X16" i="23"/>
  <c r="X18" i="23"/>
  <c r="X19" i="23"/>
  <c r="Y16" i="23"/>
  <c r="Y18" i="23"/>
  <c r="Y19" i="23"/>
  <c r="Z16" i="23"/>
  <c r="Z18" i="23"/>
  <c r="Z19" i="23"/>
  <c r="AA16" i="23"/>
  <c r="AA18" i="23"/>
  <c r="AA19" i="23"/>
  <c r="AB16" i="23"/>
  <c r="AB18" i="23"/>
  <c r="AB19" i="23"/>
  <c r="AC16" i="23"/>
  <c r="AC18" i="23"/>
  <c r="AC19" i="23"/>
  <c r="AD16" i="23"/>
  <c r="AD18" i="23"/>
  <c r="AD19" i="23"/>
  <c r="AE16" i="23"/>
  <c r="AE18" i="23"/>
  <c r="AE19" i="23"/>
  <c r="AF19" i="23"/>
  <c r="C14" i="23"/>
  <c r="AD16" i="18"/>
  <c r="AI16" i="18"/>
  <c r="AI17" i="18" s="1"/>
  <c r="T17" i="18" s="1"/>
  <c r="U17" i="18" s="1"/>
  <c r="V17" i="18" s="1"/>
  <c r="W17" i="18" s="1"/>
  <c r="Z15" i="18"/>
  <c r="T16" i="18"/>
  <c r="T15" i="18"/>
  <c r="AF15" i="18" s="1"/>
  <c r="U16" i="18"/>
  <c r="U15" i="18"/>
  <c r="V16" i="18"/>
  <c r="V15" i="18"/>
  <c r="W16" i="18"/>
  <c r="W15" i="18"/>
  <c r="X16" i="18"/>
  <c r="X15" i="18"/>
  <c r="Y16" i="18"/>
  <c r="Y15" i="18"/>
  <c r="Z16" i="18"/>
  <c r="AA16" i="18"/>
  <c r="AA15" i="18"/>
  <c r="AB16" i="18"/>
  <c r="AB15" i="18"/>
  <c r="AC16" i="18"/>
  <c r="AC15" i="18"/>
  <c r="AD15" i="18"/>
  <c r="AE16" i="18"/>
  <c r="AE15" i="18"/>
  <c r="T4" i="18"/>
  <c r="AI4" i="18"/>
  <c r="AI5" i="18"/>
  <c r="T5" i="18" s="1"/>
  <c r="T3" i="18"/>
  <c r="U3" i="18"/>
  <c r="U4" i="18"/>
  <c r="V3" i="18"/>
  <c r="V4" i="18"/>
  <c r="W3" i="18"/>
  <c r="W4" i="18"/>
  <c r="X3" i="18"/>
  <c r="X4" i="18"/>
  <c r="Y3" i="18"/>
  <c r="Y4" i="18"/>
  <c r="Z4" i="18"/>
  <c r="Z3" i="18"/>
  <c r="AF3" i="18" s="1"/>
  <c r="AA3" i="18"/>
  <c r="AA4" i="18"/>
  <c r="AB4" i="18"/>
  <c r="AB3" i="18"/>
  <c r="AC4" i="18"/>
  <c r="AC3" i="18"/>
  <c r="AD4" i="18"/>
  <c r="AD3" i="18"/>
  <c r="AE4" i="18"/>
  <c r="AE3" i="18"/>
  <c r="T10" i="23"/>
  <c r="T12" i="23"/>
  <c r="T13" i="23"/>
  <c r="U10" i="23"/>
  <c r="U12" i="23"/>
  <c r="U13" i="23"/>
  <c r="V10" i="23"/>
  <c r="V12" i="23"/>
  <c r="V13" i="23"/>
  <c r="W10" i="23"/>
  <c r="W12" i="23"/>
  <c r="W13" i="23"/>
  <c r="X10" i="23"/>
  <c r="X12" i="23"/>
  <c r="X13" i="23"/>
  <c r="Y10" i="23"/>
  <c r="Y12" i="23"/>
  <c r="Y13" i="23"/>
  <c r="Z10" i="23"/>
  <c r="Z12" i="23"/>
  <c r="Z13" i="23"/>
  <c r="AA10" i="23"/>
  <c r="AA12" i="23"/>
  <c r="AA13" i="23"/>
  <c r="AB10" i="23"/>
  <c r="AB12" i="23"/>
  <c r="AB13" i="23"/>
  <c r="AC10" i="23"/>
  <c r="AC12" i="23"/>
  <c r="AC13" i="23"/>
  <c r="AD10" i="23"/>
  <c r="AD12" i="23"/>
  <c r="AD13" i="23"/>
  <c r="AE10" i="23"/>
  <c r="AE12" i="23"/>
  <c r="AE13" i="23"/>
  <c r="AF13" i="23"/>
  <c r="C13" i="23"/>
  <c r="C12" i="23"/>
  <c r="AF7" i="23"/>
  <c r="V17" i="23"/>
  <c r="W17" i="23"/>
  <c r="X17" i="23"/>
  <c r="Y17" i="23"/>
  <c r="Z17" i="23"/>
  <c r="AA17" i="23"/>
  <c r="AB17" i="23"/>
  <c r="AC17" i="23"/>
  <c r="AD17" i="23"/>
  <c r="AE17" i="23"/>
  <c r="U17" i="23"/>
  <c r="T17" i="23"/>
  <c r="V11" i="23"/>
  <c r="W11" i="23"/>
  <c r="X11" i="23"/>
  <c r="Y11" i="23"/>
  <c r="Z11" i="23"/>
  <c r="AA11" i="23"/>
  <c r="AB11" i="23"/>
  <c r="AC11" i="23"/>
  <c r="AD11" i="23"/>
  <c r="AE11" i="23"/>
  <c r="U11" i="23"/>
  <c r="T11" i="23"/>
  <c r="T5" i="23"/>
  <c r="AI16" i="23"/>
  <c r="AI17" i="23"/>
  <c r="AI10" i="23"/>
  <c r="AI11" i="23"/>
  <c r="AI4" i="23"/>
  <c r="AI5" i="23"/>
  <c r="F53" i="22"/>
  <c r="F56" i="22"/>
  <c r="C53" i="22"/>
  <c r="C56" i="22"/>
  <c r="C57" i="22" s="1"/>
  <c r="D53" i="22"/>
  <c r="D56" i="22" s="1"/>
  <c r="E53" i="22"/>
  <c r="E56" i="22"/>
  <c r="G53" i="22"/>
  <c r="G56" i="22"/>
  <c r="H53" i="22"/>
  <c r="H56" i="22" s="1"/>
  <c r="I53" i="22"/>
  <c r="I56" i="22"/>
  <c r="J53" i="22"/>
  <c r="J56" i="22"/>
  <c r="K53" i="22"/>
  <c r="K56" i="22"/>
  <c r="L53" i="22"/>
  <c r="L56" i="22"/>
  <c r="M53" i="22"/>
  <c r="M56" i="22"/>
  <c r="N53" i="22"/>
  <c r="N56" i="22"/>
  <c r="C53" i="12"/>
  <c r="C56" i="12" s="1"/>
  <c r="C57" i="12" s="1"/>
  <c r="D57" i="12" s="1"/>
  <c r="D53" i="12"/>
  <c r="D56" i="12" s="1"/>
  <c r="D54" i="12"/>
  <c r="D55" i="12"/>
  <c r="E53" i="12"/>
  <c r="E56" i="12" s="1"/>
  <c r="E54" i="12"/>
  <c r="E55" i="12"/>
  <c r="F53" i="12"/>
  <c r="F56" i="12" s="1"/>
  <c r="F54" i="12"/>
  <c r="F55" i="12"/>
  <c r="G53" i="12"/>
  <c r="G56" i="12" s="1"/>
  <c r="G54" i="12"/>
  <c r="G55" i="12"/>
  <c r="H53" i="12"/>
  <c r="H56" i="12" s="1"/>
  <c r="H54" i="12"/>
  <c r="H55" i="12"/>
  <c r="I53" i="12"/>
  <c r="I56" i="12" s="1"/>
  <c r="I54" i="12"/>
  <c r="I55" i="12"/>
  <c r="J53" i="12"/>
  <c r="J56" i="12" s="1"/>
  <c r="J54" i="12"/>
  <c r="J55" i="12"/>
  <c r="K53" i="12"/>
  <c r="K56" i="12" s="1"/>
  <c r="K54" i="12"/>
  <c r="K55" i="12"/>
  <c r="L53" i="12"/>
  <c r="L56" i="12" s="1"/>
  <c r="L54" i="12"/>
  <c r="L55" i="12"/>
  <c r="M53" i="12"/>
  <c r="M56" i="12" s="1"/>
  <c r="M54" i="12"/>
  <c r="M55" i="12"/>
  <c r="N53" i="12"/>
  <c r="N56" i="12" s="1"/>
  <c r="N54" i="12"/>
  <c r="N55" i="12"/>
  <c r="V33" i="24"/>
  <c r="U33" i="24"/>
  <c r="T33" i="24"/>
  <c r="S33" i="24"/>
  <c r="R33" i="24"/>
  <c r="Q33" i="24"/>
  <c r="P33" i="24"/>
  <c r="O33" i="24"/>
  <c r="N33" i="24"/>
  <c r="M30" i="16"/>
  <c r="M30" i="24"/>
  <c r="M33" i="24"/>
  <c r="L33" i="24"/>
  <c r="Z27" i="16"/>
  <c r="AB22" i="19"/>
  <c r="AB23" i="19"/>
  <c r="V26" i="24" s="1"/>
  <c r="AA22" i="19"/>
  <c r="AA23" i="19"/>
  <c r="U26" i="24"/>
  <c r="Z22" i="19"/>
  <c r="T22" i="24" s="1"/>
  <c r="Z23" i="19"/>
  <c r="T26" i="24"/>
  <c r="Y22" i="19"/>
  <c r="Y23" i="19"/>
  <c r="S26" i="24"/>
  <c r="X22" i="19"/>
  <c r="W22" i="19"/>
  <c r="W23" i="19"/>
  <c r="Q26" i="24"/>
  <c r="V23" i="19"/>
  <c r="U22" i="19"/>
  <c r="U23" i="19"/>
  <c r="O26" i="24"/>
  <c r="T23" i="19"/>
  <c r="S22" i="19"/>
  <c r="S23" i="19"/>
  <c r="M26" i="24"/>
  <c r="R22" i="19"/>
  <c r="R23" i="19"/>
  <c r="L26" i="24" s="1"/>
  <c r="Q22" i="19"/>
  <c r="Q23" i="19"/>
  <c r="K26" i="24"/>
  <c r="Z17" i="16"/>
  <c r="Z21" i="16" s="1"/>
  <c r="AA21" i="16" s="1"/>
  <c r="AA22" i="16" s="1"/>
  <c r="Z22" i="16" s="1"/>
  <c r="Z17" i="24"/>
  <c r="Z21" i="24"/>
  <c r="AA21" i="24"/>
  <c r="AA22" i="24"/>
  <c r="Z22" i="24" s="1"/>
  <c r="J23" i="24" s="1"/>
  <c r="U22" i="24"/>
  <c r="S22" i="24"/>
  <c r="Q22" i="24"/>
  <c r="O22" i="24"/>
  <c r="M22" i="24"/>
  <c r="L22" i="24"/>
  <c r="K22" i="24"/>
  <c r="J19" i="24"/>
  <c r="U18" i="24"/>
  <c r="U19" i="24" s="1"/>
  <c r="T18" i="24"/>
  <c r="T19" i="24" s="1"/>
  <c r="S18" i="24"/>
  <c r="S19" i="24" s="1"/>
  <c r="Q18" i="24"/>
  <c r="Q19" i="24" s="1"/>
  <c r="O18" i="24"/>
  <c r="O19" i="24" s="1"/>
  <c r="M18" i="24"/>
  <c r="M19" i="24" s="1"/>
  <c r="L18" i="24"/>
  <c r="L19" i="24" s="1"/>
  <c r="K18" i="24"/>
  <c r="K19" i="24" s="1"/>
  <c r="D5" i="16"/>
  <c r="S82" i="22"/>
  <c r="S85" i="22" s="1"/>
  <c r="V12" i="9"/>
  <c r="V25" i="9" s="1"/>
  <c r="W12" i="9"/>
  <c r="X12" i="9"/>
  <c r="X25" i="9" s="1"/>
  <c r="Y12" i="9"/>
  <c r="Z12" i="9"/>
  <c r="Z25" i="9" s="1"/>
  <c r="AA12" i="9"/>
  <c r="AB12" i="9"/>
  <c r="AB25" i="9" s="1"/>
  <c r="S12" i="9"/>
  <c r="T12" i="9"/>
  <c r="T25" i="9" s="1"/>
  <c r="U12" i="9"/>
  <c r="Q12" i="9"/>
  <c r="R12" i="9"/>
  <c r="V13" i="9"/>
  <c r="I73" i="12" s="1"/>
  <c r="I74" i="12" s="1"/>
  <c r="W13" i="9"/>
  <c r="J73" i="12" s="1"/>
  <c r="J74" i="12" s="1"/>
  <c r="X13" i="9"/>
  <c r="K73" i="12" s="1"/>
  <c r="K74" i="12" s="1"/>
  <c r="Y13" i="9"/>
  <c r="L73" i="12" s="1"/>
  <c r="L74" i="12" s="1"/>
  <c r="Z13" i="9"/>
  <c r="M73" i="12" s="1"/>
  <c r="M74" i="12" s="1"/>
  <c r="AA13" i="9"/>
  <c r="N73" i="12" s="1"/>
  <c r="N74" i="12" s="1"/>
  <c r="AB13" i="9"/>
  <c r="O73" i="12" s="1"/>
  <c r="O74" i="12" s="1"/>
  <c r="S13" i="9"/>
  <c r="F73" i="12" s="1"/>
  <c r="F74" i="12" s="1"/>
  <c r="T13" i="9"/>
  <c r="G73" i="12" s="1"/>
  <c r="G74" i="12" s="1"/>
  <c r="U13" i="9"/>
  <c r="H73" i="12" s="1"/>
  <c r="H74" i="12" s="1"/>
  <c r="Q13" i="9"/>
  <c r="D73" i="12" s="1"/>
  <c r="D74" i="12" s="1"/>
  <c r="R13" i="9"/>
  <c r="E73" i="12" s="1"/>
  <c r="E74" i="12" s="1"/>
  <c r="V14" i="9"/>
  <c r="I83" i="12" s="1"/>
  <c r="I84" i="12" s="1"/>
  <c r="W14" i="9"/>
  <c r="J83" i="12" s="1"/>
  <c r="J84" i="12" s="1"/>
  <c r="X14" i="9"/>
  <c r="K83" i="12" s="1"/>
  <c r="K84" i="12" s="1"/>
  <c r="Y14" i="9"/>
  <c r="L83" i="12" s="1"/>
  <c r="L84" i="12" s="1"/>
  <c r="Z14" i="9"/>
  <c r="M83" i="12" s="1"/>
  <c r="M84" i="12" s="1"/>
  <c r="AA14" i="9"/>
  <c r="N83" i="12" s="1"/>
  <c r="N84" i="12" s="1"/>
  <c r="AB14" i="9"/>
  <c r="O83" i="12" s="1"/>
  <c r="O84" i="12" s="1"/>
  <c r="S14" i="9"/>
  <c r="F83" i="12" s="1"/>
  <c r="F84" i="12" s="1"/>
  <c r="T14" i="9"/>
  <c r="G83" i="12" s="1"/>
  <c r="G84" i="12" s="1"/>
  <c r="U14" i="9"/>
  <c r="H83" i="12" s="1"/>
  <c r="H84" i="12" s="1"/>
  <c r="Q14" i="9"/>
  <c r="D83" i="12" s="1"/>
  <c r="D84" i="12" s="1"/>
  <c r="R14" i="9"/>
  <c r="E83" i="12" s="1"/>
  <c r="E84" i="12" s="1"/>
  <c r="V15" i="9"/>
  <c r="I93" i="12" s="1"/>
  <c r="I94" i="12" s="1"/>
  <c r="W15" i="9"/>
  <c r="X15" i="9"/>
  <c r="K93" i="12" s="1"/>
  <c r="K94" i="12" s="1"/>
  <c r="Y15" i="9"/>
  <c r="L93" i="12" s="1"/>
  <c r="L94" i="12" s="1"/>
  <c r="Z15" i="9"/>
  <c r="M93" i="12" s="1"/>
  <c r="M94" i="12" s="1"/>
  <c r="AA15" i="9"/>
  <c r="AB15" i="9"/>
  <c r="O93" i="12" s="1"/>
  <c r="O94" i="12" s="1"/>
  <c r="S15" i="9"/>
  <c r="T15" i="9"/>
  <c r="G93" i="12" s="1"/>
  <c r="G94" i="12" s="1"/>
  <c r="U15" i="9"/>
  <c r="H93" i="12" s="1"/>
  <c r="H94" i="12" s="1"/>
  <c r="Q15" i="9"/>
  <c r="D93" i="12" s="1"/>
  <c r="R15" i="9"/>
  <c r="E93" i="12" s="1"/>
  <c r="E94" i="12" s="1"/>
  <c r="V16" i="9"/>
  <c r="I102" i="12" s="1"/>
  <c r="I103" i="12" s="1"/>
  <c r="W16" i="9"/>
  <c r="J102" i="12" s="1"/>
  <c r="J103" i="12" s="1"/>
  <c r="X16" i="9"/>
  <c r="K102" i="12" s="1"/>
  <c r="K103" i="12" s="1"/>
  <c r="Y16" i="9"/>
  <c r="L102" i="12" s="1"/>
  <c r="L103" i="12" s="1"/>
  <c r="Z16" i="9"/>
  <c r="M102" i="12" s="1"/>
  <c r="M103" i="12" s="1"/>
  <c r="AA16" i="9"/>
  <c r="N102" i="12" s="1"/>
  <c r="N103" i="12" s="1"/>
  <c r="AB16" i="9"/>
  <c r="O102" i="12" s="1"/>
  <c r="O103" i="12" s="1"/>
  <c r="S16" i="9"/>
  <c r="F102" i="12" s="1"/>
  <c r="F103" i="12" s="1"/>
  <c r="T16" i="9"/>
  <c r="G102" i="12" s="1"/>
  <c r="G103" i="12" s="1"/>
  <c r="U16" i="9"/>
  <c r="H102" i="12" s="1"/>
  <c r="H103" i="12" s="1"/>
  <c r="Q16" i="9"/>
  <c r="D102" i="12" s="1"/>
  <c r="D103" i="12" s="1"/>
  <c r="R16" i="9"/>
  <c r="E102" i="12" s="1"/>
  <c r="E103" i="12" s="1"/>
  <c r="V17" i="9"/>
  <c r="I111" i="12" s="1"/>
  <c r="I112" i="12" s="1"/>
  <c r="W17" i="9"/>
  <c r="J111" i="12" s="1"/>
  <c r="J112" i="12" s="1"/>
  <c r="X17" i="9"/>
  <c r="K111" i="12" s="1"/>
  <c r="K112" i="12" s="1"/>
  <c r="Y17" i="9"/>
  <c r="L111" i="12" s="1"/>
  <c r="L112" i="12" s="1"/>
  <c r="Z17" i="9"/>
  <c r="M111" i="12" s="1"/>
  <c r="M112" i="12" s="1"/>
  <c r="AA17" i="9"/>
  <c r="N111" i="12" s="1"/>
  <c r="N112" i="12" s="1"/>
  <c r="AB17" i="9"/>
  <c r="O111" i="12" s="1"/>
  <c r="O112" i="12" s="1"/>
  <c r="S17" i="9"/>
  <c r="F111" i="12" s="1"/>
  <c r="F112" i="12" s="1"/>
  <c r="T17" i="9"/>
  <c r="G111" i="12" s="1"/>
  <c r="G112" i="12" s="1"/>
  <c r="U17" i="9"/>
  <c r="H111" i="12" s="1"/>
  <c r="H112" i="12" s="1"/>
  <c r="Q17" i="9"/>
  <c r="D111" i="12" s="1"/>
  <c r="D112" i="12" s="1"/>
  <c r="R17" i="9"/>
  <c r="S92" i="22"/>
  <c r="S95" i="22" s="1"/>
  <c r="S110" i="22"/>
  <c r="S113" i="22" s="1"/>
  <c r="N8" i="12"/>
  <c r="D9" i="12"/>
  <c r="E9" i="12" s="1"/>
  <c r="F9" i="12" s="1"/>
  <c r="D10" i="12"/>
  <c r="E10" i="12" s="1"/>
  <c r="F10" i="12" s="1"/>
  <c r="G10" i="12" s="1"/>
  <c r="H10" i="12" s="1"/>
  <c r="I10" i="12" s="1"/>
  <c r="J10" i="12" s="1"/>
  <c r="K10" i="12" s="1"/>
  <c r="L10" i="12" s="1"/>
  <c r="M10" i="12" s="1"/>
  <c r="N10" i="12" s="1"/>
  <c r="D14" i="12"/>
  <c r="F14" i="12"/>
  <c r="G14" i="12" s="1"/>
  <c r="H14" i="12" s="1"/>
  <c r="J14" i="12" s="1"/>
  <c r="K14" i="12" s="1"/>
  <c r="L14" i="12" s="1"/>
  <c r="M14" i="12" s="1"/>
  <c r="N14" i="12" s="1"/>
  <c r="N19" i="12"/>
  <c r="D20" i="12"/>
  <c r="E20" i="12" s="1"/>
  <c r="D21" i="12"/>
  <c r="E21" i="12" s="1"/>
  <c r="F21" i="12" s="1"/>
  <c r="G21" i="12" s="1"/>
  <c r="H21" i="12" s="1"/>
  <c r="I21" i="12" s="1"/>
  <c r="J21" i="12" s="1"/>
  <c r="K21" i="12" s="1"/>
  <c r="L21" i="12" s="1"/>
  <c r="M21" i="12" s="1"/>
  <c r="N21" i="12" s="1"/>
  <c r="D25" i="12"/>
  <c r="N30" i="12"/>
  <c r="D31" i="12"/>
  <c r="E31" i="12" s="1"/>
  <c r="F31" i="12" s="1"/>
  <c r="G31" i="12" s="1"/>
  <c r="H31" i="12" s="1"/>
  <c r="I31" i="12" s="1"/>
  <c r="J31" i="12" s="1"/>
  <c r="D32" i="12"/>
  <c r="E32" i="12" s="1"/>
  <c r="F32" i="12" s="1"/>
  <c r="G32" i="12" s="1"/>
  <c r="H32" i="12" s="1"/>
  <c r="I32" i="12" s="1"/>
  <c r="J32" i="12" s="1"/>
  <c r="K32" i="12" s="1"/>
  <c r="L32" i="12" s="1"/>
  <c r="M32" i="12" s="1"/>
  <c r="N32" i="12" s="1"/>
  <c r="D36" i="12"/>
  <c r="E36" i="12" s="1"/>
  <c r="F36" i="12" s="1"/>
  <c r="G36" i="12" s="1"/>
  <c r="H36" i="12" s="1"/>
  <c r="I36" i="12" s="1"/>
  <c r="J36" i="12" s="1"/>
  <c r="K36" i="12" s="1"/>
  <c r="L36" i="12" s="1"/>
  <c r="M36" i="12" s="1"/>
  <c r="N36" i="12" s="1"/>
  <c r="N41" i="12"/>
  <c r="D42" i="12"/>
  <c r="E42" i="12" s="1"/>
  <c r="F42" i="12" s="1"/>
  <c r="G42" i="12" s="1"/>
  <c r="H42" i="12" s="1"/>
  <c r="I42" i="12" s="1"/>
  <c r="J42" i="12" s="1"/>
  <c r="K42" i="12" s="1"/>
  <c r="L42" i="12" s="1"/>
  <c r="M42" i="12" s="1"/>
  <c r="N42" i="12" s="1"/>
  <c r="D43" i="12"/>
  <c r="E43" i="12" s="1"/>
  <c r="F43" i="12" s="1"/>
  <c r="G43" i="12" s="1"/>
  <c r="H43" i="12" s="1"/>
  <c r="I43" i="12" s="1"/>
  <c r="J43" i="12" s="1"/>
  <c r="K43" i="12" s="1"/>
  <c r="L43" i="12" s="1"/>
  <c r="M43" i="12" s="1"/>
  <c r="N43" i="12" s="1"/>
  <c r="D47" i="12"/>
  <c r="E47" i="12" s="1"/>
  <c r="F47" i="12" s="1"/>
  <c r="G47" i="12" s="1"/>
  <c r="H47" i="12" s="1"/>
  <c r="I47" i="12" s="1"/>
  <c r="J47" i="12" s="1"/>
  <c r="K47" i="12" s="1"/>
  <c r="L47" i="12" s="1"/>
  <c r="M47" i="12" s="1"/>
  <c r="N47" i="12" s="1"/>
  <c r="M8" i="12"/>
  <c r="M19" i="12"/>
  <c r="M30" i="12"/>
  <c r="M41" i="12"/>
  <c r="L8" i="12"/>
  <c r="L19" i="12"/>
  <c r="L30" i="12"/>
  <c r="L41" i="12"/>
  <c r="K8" i="12"/>
  <c r="K19" i="12"/>
  <c r="K30" i="12"/>
  <c r="K41" i="12"/>
  <c r="J8" i="12"/>
  <c r="J19" i="12"/>
  <c r="J30" i="12"/>
  <c r="J41" i="12"/>
  <c r="I8" i="12"/>
  <c r="I19" i="12"/>
  <c r="I30" i="12"/>
  <c r="I41" i="12"/>
  <c r="H8" i="12"/>
  <c r="H19" i="12"/>
  <c r="H30" i="12"/>
  <c r="H41" i="12"/>
  <c r="G8" i="12"/>
  <c r="G19" i="12"/>
  <c r="G30" i="12"/>
  <c r="G41" i="12"/>
  <c r="F8" i="12"/>
  <c r="F19" i="12"/>
  <c r="F30" i="12"/>
  <c r="F41" i="12"/>
  <c r="E8" i="12"/>
  <c r="E19" i="12"/>
  <c r="E30" i="12"/>
  <c r="E41" i="12"/>
  <c r="D8" i="12"/>
  <c r="D11" i="12" s="1"/>
  <c r="D19" i="12"/>
  <c r="D22" i="12" s="1"/>
  <c r="D30" i="12"/>
  <c r="D33" i="12" s="1"/>
  <c r="D41" i="12"/>
  <c r="D30" i="22"/>
  <c r="D33" i="22"/>
  <c r="D37" i="22"/>
  <c r="C8" i="12"/>
  <c r="C11" i="12" s="1"/>
  <c r="C12" i="12" s="1"/>
  <c r="C19" i="12"/>
  <c r="C22" i="12" s="1"/>
  <c r="C23" i="12" s="1"/>
  <c r="C30" i="12"/>
  <c r="C33" i="12" s="1"/>
  <c r="C34" i="12" s="1"/>
  <c r="C41" i="12"/>
  <c r="C44" i="12" s="1"/>
  <c r="C45" i="12" s="1"/>
  <c r="C35" i="13"/>
  <c r="D35" i="13" s="1"/>
  <c r="Q20" i="14"/>
  <c r="P20" i="14"/>
  <c r="O20" i="14"/>
  <c r="N20" i="14"/>
  <c r="M20" i="14"/>
  <c r="L20" i="14"/>
  <c r="K20" i="14"/>
  <c r="J20" i="14"/>
  <c r="I20" i="14"/>
  <c r="H20" i="14"/>
  <c r="G20" i="14"/>
  <c r="F20" i="14"/>
  <c r="E30" i="18"/>
  <c r="G30" i="18"/>
  <c r="H30" i="18" s="1"/>
  <c r="I30" i="18" s="1"/>
  <c r="J30" i="18" s="1"/>
  <c r="L30" i="18" s="1"/>
  <c r="M30" i="18" s="1"/>
  <c r="N30" i="18" s="1"/>
  <c r="O30" i="18" s="1"/>
  <c r="E31" i="18"/>
  <c r="F31" i="18" s="1"/>
  <c r="G31" i="18" s="1"/>
  <c r="H31" i="18" s="1"/>
  <c r="I31" i="18" s="1"/>
  <c r="J31" i="18" s="1"/>
  <c r="K31" i="18" s="1"/>
  <c r="L31" i="18" s="1"/>
  <c r="M31" i="18" s="1"/>
  <c r="N31" i="18" s="1"/>
  <c r="O31" i="18" s="1"/>
  <c r="O28" i="23"/>
  <c r="N28" i="23"/>
  <c r="M28" i="23"/>
  <c r="L28" i="23"/>
  <c r="K28" i="23"/>
  <c r="J28" i="23"/>
  <c r="I28" i="23"/>
  <c r="H28" i="23"/>
  <c r="G28" i="23"/>
  <c r="F28" i="23"/>
  <c r="E28" i="23"/>
  <c r="D28" i="23"/>
  <c r="N1" i="23"/>
  <c r="G1" i="23"/>
  <c r="AE15" i="23"/>
  <c r="AD15" i="23"/>
  <c r="AC15" i="23"/>
  <c r="AB15" i="23"/>
  <c r="AA15" i="23"/>
  <c r="Z15" i="23"/>
  <c r="Y15" i="23"/>
  <c r="X15" i="23"/>
  <c r="W15" i="23"/>
  <c r="V15" i="23"/>
  <c r="U15" i="23"/>
  <c r="T15" i="23"/>
  <c r="A18" i="18"/>
  <c r="A17" i="25" s="1"/>
  <c r="A17" i="18"/>
  <c r="A16" i="25" s="1"/>
  <c r="R9" i="23" s="1"/>
  <c r="A16" i="18"/>
  <c r="A15" i="25" s="1"/>
  <c r="R3" i="23" s="1"/>
  <c r="AE9" i="23"/>
  <c r="AD9" i="23"/>
  <c r="AC9" i="23"/>
  <c r="AB9" i="23"/>
  <c r="AA9" i="23"/>
  <c r="Z9" i="23"/>
  <c r="Y9" i="23"/>
  <c r="X9" i="23"/>
  <c r="W9" i="23"/>
  <c r="V9" i="23"/>
  <c r="U9" i="23"/>
  <c r="T9" i="23"/>
  <c r="AE4" i="23"/>
  <c r="AD4" i="23"/>
  <c r="AC4" i="23"/>
  <c r="AB4" i="23"/>
  <c r="AA4" i="23"/>
  <c r="Z4" i="23"/>
  <c r="Y4" i="23"/>
  <c r="X4" i="23"/>
  <c r="W4" i="23"/>
  <c r="V4" i="23"/>
  <c r="U4" i="23"/>
  <c r="T4" i="23"/>
  <c r="AE3" i="23"/>
  <c r="AD3" i="23"/>
  <c r="AC3" i="23"/>
  <c r="AB3" i="23"/>
  <c r="AA3" i="23"/>
  <c r="Z3" i="23"/>
  <c r="Y3" i="23"/>
  <c r="X3" i="23"/>
  <c r="W3" i="23"/>
  <c r="V3" i="23"/>
  <c r="U3" i="23"/>
  <c r="T3" i="23"/>
  <c r="U5" i="23"/>
  <c r="V5" i="23"/>
  <c r="W5" i="23"/>
  <c r="X5" i="23"/>
  <c r="Y5" i="23"/>
  <c r="Z5" i="23"/>
  <c r="AA5" i="23"/>
  <c r="AB5" i="23"/>
  <c r="AC5" i="23"/>
  <c r="AD5" i="23"/>
  <c r="AE5" i="23"/>
  <c r="AF16" i="23"/>
  <c r="AF15" i="23"/>
  <c r="AF10" i="23"/>
  <c r="AF9" i="23"/>
  <c r="T6" i="23"/>
  <c r="T7" i="23"/>
  <c r="U6" i="23"/>
  <c r="U7" i="23"/>
  <c r="V6" i="23"/>
  <c r="V7" i="23"/>
  <c r="W6" i="23"/>
  <c r="W7" i="23"/>
  <c r="X6" i="23"/>
  <c r="X7" i="23"/>
  <c r="Y6" i="23"/>
  <c r="Y7" i="23"/>
  <c r="Z6" i="23"/>
  <c r="Z7" i="23"/>
  <c r="AA6" i="23"/>
  <c r="AA7" i="23"/>
  <c r="AB6" i="23"/>
  <c r="AB7" i="23"/>
  <c r="AC6" i="23"/>
  <c r="AC7" i="23"/>
  <c r="AD6" i="23"/>
  <c r="AD7" i="23"/>
  <c r="AE6" i="23"/>
  <c r="AE7" i="23"/>
  <c r="AF4" i="23"/>
  <c r="AF3" i="23"/>
  <c r="N6" i="9"/>
  <c r="O2" i="23" s="1"/>
  <c r="AE2" i="23" s="1"/>
  <c r="M6" i="9"/>
  <c r="N2" i="18" s="1"/>
  <c r="AD2" i="18" s="1"/>
  <c r="L6" i="9"/>
  <c r="M2" i="23" s="1"/>
  <c r="AC2" i="23" s="1"/>
  <c r="K6" i="9"/>
  <c r="K2" i="20" s="1"/>
  <c r="J6" i="9"/>
  <c r="K2" i="23" s="1"/>
  <c r="AA2" i="23" s="1"/>
  <c r="I6" i="9"/>
  <c r="I2" i="20" s="1"/>
  <c r="H6" i="9"/>
  <c r="I2" i="23" s="1"/>
  <c r="Y2" i="23" s="1"/>
  <c r="G6" i="9"/>
  <c r="H2" i="18" s="1"/>
  <c r="X2" i="18" s="1"/>
  <c r="F6" i="9"/>
  <c r="G2" i="23" s="1"/>
  <c r="W2" i="23" s="1"/>
  <c r="E6" i="9"/>
  <c r="F2" i="18" s="1"/>
  <c r="V2" i="18" s="1"/>
  <c r="D6" i="9"/>
  <c r="E2" i="23" s="1"/>
  <c r="U2" i="23" s="1"/>
  <c r="C6" i="9"/>
  <c r="D2" i="23" s="1"/>
  <c r="T2" i="23" s="1"/>
  <c r="C9" i="13"/>
  <c r="C10" i="13" s="1"/>
  <c r="D3" i="13" s="1"/>
  <c r="D10" i="13" s="1"/>
  <c r="E3" i="13" s="1"/>
  <c r="D9" i="13"/>
  <c r="E9" i="13"/>
  <c r="F9" i="13"/>
  <c r="G9" i="13"/>
  <c r="H9" i="13"/>
  <c r="I9" i="13"/>
  <c r="J9" i="13"/>
  <c r="K9" i="13"/>
  <c r="L9" i="13"/>
  <c r="M9" i="13"/>
  <c r="N9" i="13"/>
  <c r="Q12" i="14"/>
  <c r="P12" i="14"/>
  <c r="O12" i="14"/>
  <c r="N12" i="14"/>
  <c r="M12" i="14"/>
  <c r="L12" i="14"/>
  <c r="K12" i="14"/>
  <c r="J12" i="14"/>
  <c r="I12" i="14"/>
  <c r="H12" i="14"/>
  <c r="G12" i="14"/>
  <c r="F12" i="14"/>
  <c r="C20" i="20"/>
  <c r="N26" i="13"/>
  <c r="C28" i="13"/>
  <c r="D28" i="13" s="1"/>
  <c r="E28" i="13" s="1"/>
  <c r="F28" i="13" s="1"/>
  <c r="G28" i="13" s="1"/>
  <c r="H28" i="13" s="1"/>
  <c r="I28" i="13" s="1"/>
  <c r="M26" i="13"/>
  <c r="L26" i="13"/>
  <c r="K26" i="13"/>
  <c r="J26" i="13"/>
  <c r="I26" i="13"/>
  <c r="H26" i="13"/>
  <c r="G26" i="13"/>
  <c r="F26" i="13"/>
  <c r="E26" i="13"/>
  <c r="D26" i="13"/>
  <c r="C26" i="13"/>
  <c r="A20" i="24"/>
  <c r="C19" i="24"/>
  <c r="C18" i="24"/>
  <c r="C19" i="16"/>
  <c r="A19" i="24"/>
  <c r="A18" i="24"/>
  <c r="A17" i="24"/>
  <c r="A16" i="24"/>
  <c r="A15" i="24"/>
  <c r="V30" i="24"/>
  <c r="U30" i="24"/>
  <c r="T30" i="24"/>
  <c r="S30" i="24"/>
  <c r="R30" i="24"/>
  <c r="Q30" i="24"/>
  <c r="P30" i="24"/>
  <c r="O30" i="24"/>
  <c r="N30" i="24"/>
  <c r="L30" i="24"/>
  <c r="K30" i="24"/>
  <c r="J21" i="24"/>
  <c r="J20" i="24"/>
  <c r="C16" i="24"/>
  <c r="J7" i="24"/>
  <c r="J8" i="24"/>
  <c r="J9" i="24"/>
  <c r="J10" i="24"/>
  <c r="J11" i="24"/>
  <c r="C17" i="24"/>
  <c r="P8" i="24"/>
  <c r="P9" i="24"/>
  <c r="P10" i="24"/>
  <c r="P11" i="24"/>
  <c r="C20" i="24"/>
  <c r="D5" i="24"/>
  <c r="D6" i="24"/>
  <c r="D7" i="24"/>
  <c r="D10" i="24"/>
  <c r="D11" i="24"/>
  <c r="J17" i="24"/>
  <c r="J16" i="24"/>
  <c r="N7" i="12"/>
  <c r="N18" i="12" s="1"/>
  <c r="N51" i="12" s="1"/>
  <c r="O61" i="12" s="1"/>
  <c r="M7" i="12"/>
  <c r="M18" i="12" s="1"/>
  <c r="M51" i="12" s="1"/>
  <c r="N61" i="12" s="1"/>
  <c r="N71" i="12" s="1"/>
  <c r="L7" i="12"/>
  <c r="L18" i="12" s="1"/>
  <c r="L51" i="12" s="1"/>
  <c r="M61" i="12" s="1"/>
  <c r="K7" i="12"/>
  <c r="K18" i="12" s="1"/>
  <c r="K51" i="12" s="1"/>
  <c r="L61" i="12" s="1"/>
  <c r="L71" i="12" s="1"/>
  <c r="J7" i="12"/>
  <c r="J18" i="12" s="1"/>
  <c r="J51" i="12" s="1"/>
  <c r="K61" i="12" s="1"/>
  <c r="I7" i="12"/>
  <c r="I18" i="12" s="1"/>
  <c r="I51" i="12" s="1"/>
  <c r="J61" i="12" s="1"/>
  <c r="J71" i="12" s="1"/>
  <c r="H7" i="12"/>
  <c r="H18" i="12" s="1"/>
  <c r="H51" i="12" s="1"/>
  <c r="I61" i="12" s="1"/>
  <c r="G7" i="12"/>
  <c r="G18" i="12" s="1"/>
  <c r="G51" i="12" s="1"/>
  <c r="H61" i="12" s="1"/>
  <c r="H71" i="12" s="1"/>
  <c r="F7" i="12"/>
  <c r="F18" i="12" s="1"/>
  <c r="F51" i="12" s="1"/>
  <c r="G61" i="12" s="1"/>
  <c r="E7" i="12"/>
  <c r="E18" i="12" s="1"/>
  <c r="E51" i="12" s="1"/>
  <c r="F61" i="12" s="1"/>
  <c r="F71" i="12" s="1"/>
  <c r="D7" i="12"/>
  <c r="D18" i="12" s="1"/>
  <c r="C7" i="12"/>
  <c r="C18" i="12" s="1"/>
  <c r="C51" i="12" s="1"/>
  <c r="D61" i="12" s="1"/>
  <c r="V5" i="24"/>
  <c r="V6" i="24"/>
  <c r="V7" i="24"/>
  <c r="V8" i="24"/>
  <c r="V9" i="24"/>
  <c r="V10" i="24"/>
  <c r="V11" i="24"/>
  <c r="V12" i="24"/>
  <c r="A35" i="23"/>
  <c r="A34" i="23"/>
  <c r="A33" i="23"/>
  <c r="A32" i="23"/>
  <c r="A31" i="23"/>
  <c r="A30" i="23"/>
  <c r="A29" i="23"/>
  <c r="A27" i="23"/>
  <c r="A11" i="23"/>
  <c r="A10" i="23"/>
  <c r="A9" i="23"/>
  <c r="A8" i="23"/>
  <c r="D85" i="12"/>
  <c r="D87" i="12"/>
  <c r="D88" i="12"/>
  <c r="E85" i="12"/>
  <c r="E86" i="12"/>
  <c r="E87" i="12"/>
  <c r="E88" i="12"/>
  <c r="F85" i="12"/>
  <c r="F86" i="12"/>
  <c r="F87" i="12"/>
  <c r="F88" i="12"/>
  <c r="G85" i="12"/>
  <c r="G86" i="12"/>
  <c r="G87" i="12"/>
  <c r="G88" i="12"/>
  <c r="H85" i="12"/>
  <c r="H86" i="12"/>
  <c r="H87" i="12"/>
  <c r="H88" i="12"/>
  <c r="I85" i="12"/>
  <c r="I86" i="12"/>
  <c r="I87" i="12"/>
  <c r="I88" i="12"/>
  <c r="J85" i="12"/>
  <c r="J86" i="12"/>
  <c r="J87" i="12"/>
  <c r="J88" i="12"/>
  <c r="K85" i="12"/>
  <c r="K86" i="12"/>
  <c r="K87" i="12"/>
  <c r="K88" i="12"/>
  <c r="L85" i="12"/>
  <c r="L86" i="12"/>
  <c r="L87" i="12"/>
  <c r="L88" i="12"/>
  <c r="M85" i="12"/>
  <c r="M86" i="12"/>
  <c r="M87" i="12"/>
  <c r="M88" i="12"/>
  <c r="N85" i="12"/>
  <c r="N86" i="12"/>
  <c r="N87" i="12"/>
  <c r="N88" i="12"/>
  <c r="O85" i="12"/>
  <c r="O86" i="12"/>
  <c r="O87" i="12"/>
  <c r="O88" i="12"/>
  <c r="D75" i="12"/>
  <c r="D77" i="12" s="1"/>
  <c r="D78" i="12"/>
  <c r="E75" i="12"/>
  <c r="E76" i="12"/>
  <c r="E77" i="12"/>
  <c r="E78" i="12"/>
  <c r="F75" i="12"/>
  <c r="F76" i="12"/>
  <c r="F77" i="12"/>
  <c r="F78" i="12"/>
  <c r="G75" i="12"/>
  <c r="G76" i="12"/>
  <c r="G77" i="12"/>
  <c r="G78" i="12"/>
  <c r="H75" i="12"/>
  <c r="H76" i="12"/>
  <c r="H77" i="12"/>
  <c r="H78" i="12"/>
  <c r="I75" i="12"/>
  <c r="I76" i="12"/>
  <c r="I77" i="12"/>
  <c r="I78" i="12"/>
  <c r="J75" i="12"/>
  <c r="J76" i="12"/>
  <c r="J77" i="12"/>
  <c r="J78" i="12"/>
  <c r="K75" i="12"/>
  <c r="K76" i="12"/>
  <c r="K77" i="12"/>
  <c r="K78" i="12"/>
  <c r="L75" i="12"/>
  <c r="L76" i="12"/>
  <c r="L77" i="12"/>
  <c r="L78" i="12"/>
  <c r="M75" i="12"/>
  <c r="M76" i="12"/>
  <c r="M77" i="12"/>
  <c r="M78" i="12"/>
  <c r="N75" i="12"/>
  <c r="N76" i="12"/>
  <c r="N77" i="12"/>
  <c r="N78" i="12"/>
  <c r="O75" i="12"/>
  <c r="O76" i="12"/>
  <c r="O77" i="12"/>
  <c r="O78" i="12"/>
  <c r="D65" i="12"/>
  <c r="D68" i="12"/>
  <c r="E65" i="12"/>
  <c r="E68" i="12"/>
  <c r="F65" i="12"/>
  <c r="F68" i="12"/>
  <c r="G65" i="12"/>
  <c r="G68" i="12"/>
  <c r="H65" i="12"/>
  <c r="H68" i="12"/>
  <c r="I65" i="12"/>
  <c r="I68" i="12"/>
  <c r="J65" i="12"/>
  <c r="J68" i="12"/>
  <c r="K65" i="12"/>
  <c r="K68" i="12"/>
  <c r="L65" i="12"/>
  <c r="L68" i="12"/>
  <c r="M65" i="12"/>
  <c r="M68" i="12"/>
  <c r="N65" i="12"/>
  <c r="N68" i="12"/>
  <c r="O65" i="12"/>
  <c r="O68" i="12"/>
  <c r="D88" i="22"/>
  <c r="E88" i="22"/>
  <c r="F88" i="22"/>
  <c r="G88" i="22"/>
  <c r="H88" i="22"/>
  <c r="I88" i="22"/>
  <c r="J88" i="22"/>
  <c r="K88" i="22"/>
  <c r="L88" i="22"/>
  <c r="M88" i="22"/>
  <c r="N88" i="22"/>
  <c r="O88" i="22"/>
  <c r="O78" i="22"/>
  <c r="N78" i="22"/>
  <c r="M78" i="22"/>
  <c r="L78" i="22"/>
  <c r="K78" i="22"/>
  <c r="J78" i="22"/>
  <c r="I78" i="22"/>
  <c r="H78" i="22"/>
  <c r="G78" i="22"/>
  <c r="F78" i="22"/>
  <c r="E78" i="22"/>
  <c r="D78" i="22"/>
  <c r="D113" i="12"/>
  <c r="D115" i="12" s="1"/>
  <c r="E113" i="12"/>
  <c r="E114" i="12"/>
  <c r="E115" i="12"/>
  <c r="F113" i="12"/>
  <c r="F114" i="12"/>
  <c r="F115" i="12"/>
  <c r="G113" i="12"/>
  <c r="G114" i="12"/>
  <c r="G115" i="12"/>
  <c r="H113" i="12"/>
  <c r="H114" i="12"/>
  <c r="H115" i="12"/>
  <c r="I113" i="12"/>
  <c r="I114" i="12"/>
  <c r="I115" i="12"/>
  <c r="J113" i="12"/>
  <c r="J114" i="12"/>
  <c r="J115" i="12"/>
  <c r="K113" i="12"/>
  <c r="K114" i="12"/>
  <c r="K115" i="12"/>
  <c r="L113" i="12"/>
  <c r="L114" i="12"/>
  <c r="L115" i="12"/>
  <c r="M113" i="12"/>
  <c r="M114" i="12"/>
  <c r="M115" i="12"/>
  <c r="N113" i="12"/>
  <c r="N114" i="12"/>
  <c r="N115" i="12"/>
  <c r="O113" i="12"/>
  <c r="O114" i="12"/>
  <c r="O115" i="12"/>
  <c r="D104" i="12"/>
  <c r="D106" i="12" s="1"/>
  <c r="E104" i="12"/>
  <c r="E105" i="12"/>
  <c r="E106" i="12"/>
  <c r="F104" i="12"/>
  <c r="F105" i="12"/>
  <c r="F106" i="12"/>
  <c r="G104" i="12"/>
  <c r="G105" i="12"/>
  <c r="G106" i="12"/>
  <c r="H104" i="12"/>
  <c r="H105" i="12"/>
  <c r="H106" i="12"/>
  <c r="I104" i="12"/>
  <c r="I105" i="12"/>
  <c r="I106" i="12"/>
  <c r="J104" i="12"/>
  <c r="J105" i="12"/>
  <c r="J106" i="12"/>
  <c r="K104" i="12"/>
  <c r="K105" i="12"/>
  <c r="K106" i="12"/>
  <c r="L104" i="12"/>
  <c r="L105" i="12"/>
  <c r="L106" i="12"/>
  <c r="M104" i="12"/>
  <c r="M105" i="12"/>
  <c r="M106" i="12"/>
  <c r="N104" i="12"/>
  <c r="N105" i="12"/>
  <c r="N106" i="12"/>
  <c r="O104" i="12"/>
  <c r="O105" i="12"/>
  <c r="O106" i="12"/>
  <c r="D95" i="12"/>
  <c r="D97" i="12" s="1"/>
  <c r="E95" i="12"/>
  <c r="E96" i="12"/>
  <c r="E97" i="12"/>
  <c r="F95" i="12"/>
  <c r="F96" i="12"/>
  <c r="F97" i="12"/>
  <c r="G95" i="12"/>
  <c r="G96" i="12"/>
  <c r="G97" i="12"/>
  <c r="H95" i="12"/>
  <c r="H96" i="12"/>
  <c r="H97" i="12"/>
  <c r="I95" i="12"/>
  <c r="I96" i="12"/>
  <c r="I97" i="12"/>
  <c r="J95" i="12"/>
  <c r="J96" i="12"/>
  <c r="J97" i="12"/>
  <c r="K95" i="12"/>
  <c r="K96" i="12"/>
  <c r="K97" i="12"/>
  <c r="L95" i="12"/>
  <c r="L96" i="12"/>
  <c r="L97" i="12"/>
  <c r="M95" i="12"/>
  <c r="M97" i="12" s="1"/>
  <c r="M96" i="12"/>
  <c r="N95" i="12"/>
  <c r="N96" i="12"/>
  <c r="N97" i="12"/>
  <c r="O95" i="12"/>
  <c r="O96" i="12"/>
  <c r="O97" i="12"/>
  <c r="A15" i="23"/>
  <c r="A18" i="23"/>
  <c r="A22" i="25"/>
  <c r="A17" i="23"/>
  <c r="A21" i="25"/>
  <c r="A16" i="23"/>
  <c r="A20" i="25"/>
  <c r="AF16" i="18"/>
  <c r="AF4" i="18"/>
  <c r="P103" i="1"/>
  <c r="O103" i="1"/>
  <c r="N103" i="1"/>
  <c r="M103" i="1"/>
  <c r="L103" i="1"/>
  <c r="K103" i="1"/>
  <c r="J103" i="1"/>
  <c r="I103" i="1"/>
  <c r="H103" i="1"/>
  <c r="G103" i="1"/>
  <c r="Q103" i="1" s="1"/>
  <c r="F103" i="1"/>
  <c r="E103" i="1"/>
  <c r="D68" i="22"/>
  <c r="E68" i="22"/>
  <c r="F68" i="22"/>
  <c r="G68" i="22"/>
  <c r="H68" i="22"/>
  <c r="I68" i="22"/>
  <c r="J68" i="22"/>
  <c r="K68" i="22"/>
  <c r="L68" i="22"/>
  <c r="M68" i="22"/>
  <c r="N68" i="22"/>
  <c r="O68" i="22"/>
  <c r="R15" i="18"/>
  <c r="R9" i="18"/>
  <c r="A15" i="18"/>
  <c r="A14" i="18"/>
  <c r="A13" i="18"/>
  <c r="A12" i="18"/>
  <c r="O2" i="18"/>
  <c r="AE2" i="18" s="1"/>
  <c r="L2" i="18"/>
  <c r="AB2" i="18" s="1"/>
  <c r="K2" i="18"/>
  <c r="AA2" i="18" s="1"/>
  <c r="J2" i="18"/>
  <c r="Z2" i="18" s="1"/>
  <c r="G2" i="18"/>
  <c r="W2" i="18" s="1"/>
  <c r="R3" i="18"/>
  <c r="C32" i="13"/>
  <c r="D32" i="13"/>
  <c r="E32" i="13"/>
  <c r="F32" i="13"/>
  <c r="C9" i="20"/>
  <c r="D9" i="20"/>
  <c r="E9" i="20"/>
  <c r="F9" i="20"/>
  <c r="G9" i="20"/>
  <c r="H9" i="20"/>
  <c r="I9" i="20"/>
  <c r="J9" i="20"/>
  <c r="K9" i="20"/>
  <c r="L9" i="20"/>
  <c r="M9" i="20"/>
  <c r="N9" i="20"/>
  <c r="A21" i="23"/>
  <c r="A20" i="23"/>
  <c r="A19" i="23"/>
  <c r="G32" i="13"/>
  <c r="H32" i="13"/>
  <c r="I32" i="13"/>
  <c r="J32" i="13"/>
  <c r="K32" i="13"/>
  <c r="L32" i="13"/>
  <c r="M32" i="13"/>
  <c r="N32" i="13"/>
  <c r="B11" i="25"/>
  <c r="B10" i="25"/>
  <c r="B9" i="25"/>
  <c r="B8" i="25"/>
  <c r="B7" i="25"/>
  <c r="B5" i="25"/>
  <c r="B4" i="25"/>
  <c r="O3" i="25"/>
  <c r="M3" i="25"/>
  <c r="K3" i="25"/>
  <c r="I3" i="25"/>
  <c r="G3" i="25"/>
  <c r="E3" i="25"/>
  <c r="C11" i="25"/>
  <c r="C10" i="25"/>
  <c r="C9" i="25"/>
  <c r="C8" i="25"/>
  <c r="C7" i="25"/>
  <c r="C5" i="25"/>
  <c r="A11" i="25"/>
  <c r="A10" i="25"/>
  <c r="A9" i="25"/>
  <c r="C60" i="1"/>
  <c r="C77" i="1" s="1"/>
  <c r="C59" i="1"/>
  <c r="C76" i="1" s="1"/>
  <c r="C58" i="1"/>
  <c r="C75" i="1" s="1"/>
  <c r="A109" i="22"/>
  <c r="A100" i="22"/>
  <c r="A91" i="22"/>
  <c r="A81" i="22"/>
  <c r="A71" i="22"/>
  <c r="A61" i="22"/>
  <c r="N41" i="22"/>
  <c r="M41" i="22"/>
  <c r="L41" i="22"/>
  <c r="K41" i="22"/>
  <c r="J41" i="22"/>
  <c r="I41" i="22"/>
  <c r="H41" i="22"/>
  <c r="G41" i="22"/>
  <c r="F41" i="22"/>
  <c r="E41" i="22"/>
  <c r="D41" i="22"/>
  <c r="C41" i="22"/>
  <c r="D32" i="22"/>
  <c r="E32" i="22"/>
  <c r="F32" i="22"/>
  <c r="G32" i="22"/>
  <c r="H32" i="22"/>
  <c r="I32" i="22"/>
  <c r="J32" i="22"/>
  <c r="K32" i="22"/>
  <c r="L32" i="22"/>
  <c r="M32" i="22"/>
  <c r="N32" i="22"/>
  <c r="D31" i="22"/>
  <c r="E31" i="22"/>
  <c r="F31" i="22"/>
  <c r="G31" i="22"/>
  <c r="H31" i="22"/>
  <c r="I31" i="22"/>
  <c r="J31" i="22"/>
  <c r="K31" i="22"/>
  <c r="L31" i="22"/>
  <c r="M31" i="22"/>
  <c r="N31" i="22"/>
  <c r="N30" i="22"/>
  <c r="M30" i="22"/>
  <c r="L30" i="22"/>
  <c r="K30" i="22"/>
  <c r="J30" i="22"/>
  <c r="I30" i="22"/>
  <c r="H30" i="22"/>
  <c r="G30" i="22"/>
  <c r="F30" i="22"/>
  <c r="E30" i="22"/>
  <c r="C30" i="22"/>
  <c r="N19" i="22"/>
  <c r="M19" i="22"/>
  <c r="L19" i="22"/>
  <c r="K19" i="22"/>
  <c r="J19" i="22"/>
  <c r="I19" i="22"/>
  <c r="H19" i="22"/>
  <c r="G19" i="22"/>
  <c r="F19" i="22"/>
  <c r="E19" i="22"/>
  <c r="D19" i="22"/>
  <c r="C19" i="22"/>
  <c r="N8" i="22"/>
  <c r="M8" i="22"/>
  <c r="L8" i="22"/>
  <c r="K8" i="22"/>
  <c r="J8" i="22"/>
  <c r="I8" i="22"/>
  <c r="H8" i="22"/>
  <c r="G8" i="22"/>
  <c r="F8" i="22"/>
  <c r="E8" i="22"/>
  <c r="D8" i="22"/>
  <c r="C8" i="22"/>
  <c r="N6" i="19"/>
  <c r="N7" i="22" s="1"/>
  <c r="N18" i="22" s="1"/>
  <c r="L6" i="19"/>
  <c r="L7" i="22" s="1"/>
  <c r="L18" i="22" s="1"/>
  <c r="J6" i="19"/>
  <c r="J7" i="22" s="1"/>
  <c r="J18" i="22" s="1"/>
  <c r="J51" i="22" s="1"/>
  <c r="K61" i="22" s="1"/>
  <c r="H6" i="19"/>
  <c r="H7" i="22" s="1"/>
  <c r="H18" i="22" s="1"/>
  <c r="F6" i="19"/>
  <c r="F7" i="22" s="1"/>
  <c r="F18" i="22" s="1"/>
  <c r="D6" i="19"/>
  <c r="D7" i="22" s="1"/>
  <c r="D18" i="22" s="1"/>
  <c r="C60" i="21"/>
  <c r="C59" i="21"/>
  <c r="C58" i="21"/>
  <c r="C18" i="21"/>
  <c r="C17" i="21"/>
  <c r="C16" i="21"/>
  <c r="C15" i="21"/>
  <c r="C14" i="21"/>
  <c r="F74" i="21"/>
  <c r="F75" i="21"/>
  <c r="G74" i="21"/>
  <c r="G75" i="21"/>
  <c r="H74" i="21"/>
  <c r="H75" i="21"/>
  <c r="I74" i="21"/>
  <c r="I75" i="21"/>
  <c r="J74" i="21"/>
  <c r="J75" i="21"/>
  <c r="K74" i="21"/>
  <c r="K75" i="21"/>
  <c r="L74" i="21"/>
  <c r="L75" i="21"/>
  <c r="M74" i="21"/>
  <c r="M75" i="21"/>
  <c r="N74" i="21"/>
  <c r="N75" i="21"/>
  <c r="O74" i="21"/>
  <c r="O75" i="21"/>
  <c r="P74" i="21"/>
  <c r="P75" i="21"/>
  <c r="Q19" i="21"/>
  <c r="Q20" i="21"/>
  <c r="Q12" i="21"/>
  <c r="Q105" i="21"/>
  <c r="Q104" i="21"/>
  <c r="Q103" i="21"/>
  <c r="Q102" i="21"/>
  <c r="Q101" i="21"/>
  <c r="P11" i="21"/>
  <c r="P92" i="21" s="1"/>
  <c r="O11" i="21"/>
  <c r="N11" i="21"/>
  <c r="M11" i="21"/>
  <c r="L11" i="21"/>
  <c r="L92" i="21" s="1"/>
  <c r="K11" i="21"/>
  <c r="J11" i="21"/>
  <c r="I11" i="21"/>
  <c r="H11" i="21"/>
  <c r="H92" i="21" s="1"/>
  <c r="G11" i="21"/>
  <c r="F11" i="21"/>
  <c r="F92" i="21" s="1"/>
  <c r="E11" i="21"/>
  <c r="E92" i="21" s="1"/>
  <c r="C87" i="21"/>
  <c r="C86" i="21"/>
  <c r="C85" i="21"/>
  <c r="C84" i="21"/>
  <c r="C83" i="21"/>
  <c r="C82" i="21"/>
  <c r="C77" i="21"/>
  <c r="C76" i="21"/>
  <c r="C75" i="21"/>
  <c r="C74" i="21"/>
  <c r="C73" i="21"/>
  <c r="E54" i="21"/>
  <c r="Q50" i="21"/>
  <c r="C30" i="21"/>
  <c r="C40" i="21"/>
  <c r="C50" i="21"/>
  <c r="Q49" i="21"/>
  <c r="C29" i="21"/>
  <c r="C39" i="21"/>
  <c r="C49" i="21"/>
  <c r="C28" i="21"/>
  <c r="C38" i="21"/>
  <c r="C48" i="21"/>
  <c r="C27" i="21"/>
  <c r="C37" i="21"/>
  <c r="C47" i="21"/>
  <c r="C26" i="21"/>
  <c r="C36" i="21"/>
  <c r="C46" i="21"/>
  <c r="C25" i="21"/>
  <c r="C35" i="21"/>
  <c r="C45" i="21"/>
  <c r="C24" i="21"/>
  <c r="C34" i="21"/>
  <c r="C44" i="21"/>
  <c r="Q34" i="21"/>
  <c r="Q35" i="21"/>
  <c r="Q36" i="21"/>
  <c r="Q37" i="21"/>
  <c r="Q38" i="21"/>
  <c r="Q39" i="21"/>
  <c r="Q40" i="21"/>
  <c r="M42" i="21"/>
  <c r="K42" i="21"/>
  <c r="G42" i="21"/>
  <c r="F42" i="21"/>
  <c r="E42" i="21"/>
  <c r="X32" i="21"/>
  <c r="AJ32" i="21" s="1"/>
  <c r="AK32" i="21" s="1"/>
  <c r="AI32" i="21"/>
  <c r="AH32" i="21"/>
  <c r="AG32" i="21"/>
  <c r="AF32" i="21"/>
  <c r="AE32" i="21"/>
  <c r="AD32" i="21"/>
  <c r="AC32" i="21"/>
  <c r="AB32" i="21"/>
  <c r="AA32" i="21"/>
  <c r="Z32" i="21"/>
  <c r="Y32" i="21"/>
  <c r="Q26" i="21"/>
  <c r="Q27" i="21"/>
  <c r="Q28" i="21"/>
  <c r="Q29" i="21"/>
  <c r="Q30" i="21"/>
  <c r="K32" i="21"/>
  <c r="G32" i="21"/>
  <c r="F32" i="21"/>
  <c r="E32" i="21"/>
  <c r="V31" i="21"/>
  <c r="V30" i="21"/>
  <c r="X29" i="21"/>
  <c r="Y29" i="21"/>
  <c r="Z29" i="21"/>
  <c r="AA29" i="21"/>
  <c r="AB29" i="21"/>
  <c r="AC29" i="21"/>
  <c r="AD29" i="21"/>
  <c r="AE29" i="21"/>
  <c r="AF29" i="21"/>
  <c r="AG29" i="21"/>
  <c r="AH29" i="21"/>
  <c r="AI29" i="21"/>
  <c r="AJ29" i="21" s="1"/>
  <c r="AK29" i="21" s="1"/>
  <c r="V28" i="21"/>
  <c r="X27" i="21"/>
  <c r="Y27" i="21"/>
  <c r="Z27" i="21"/>
  <c r="AA27" i="21"/>
  <c r="AB27" i="21"/>
  <c r="AC27" i="21"/>
  <c r="AD27" i="21"/>
  <c r="AE27" i="21"/>
  <c r="AG27" i="21"/>
  <c r="AI27" i="21"/>
  <c r="V26" i="21"/>
  <c r="X25" i="21"/>
  <c r="Z25" i="21"/>
  <c r="AA25" i="21"/>
  <c r="AC25" i="21"/>
  <c r="AD25" i="21"/>
  <c r="AE25" i="21"/>
  <c r="AG25" i="21"/>
  <c r="AI25" i="21"/>
  <c r="V24" i="21"/>
  <c r="AB24" i="19"/>
  <c r="AA24" i="19"/>
  <c r="Z24" i="19"/>
  <c r="Y24" i="19"/>
  <c r="X24" i="19"/>
  <c r="W24" i="19"/>
  <c r="V24" i="19"/>
  <c r="U24" i="19"/>
  <c r="T24" i="19"/>
  <c r="R24" i="19"/>
  <c r="AB25" i="19"/>
  <c r="AA25" i="19"/>
  <c r="Z25" i="19"/>
  <c r="Y25" i="19"/>
  <c r="X25" i="19"/>
  <c r="W25" i="19"/>
  <c r="V25" i="19"/>
  <c r="U25" i="19"/>
  <c r="T25" i="19"/>
  <c r="S25" i="19"/>
  <c r="R25" i="19"/>
  <c r="AC17" i="19"/>
  <c r="E101" i="1"/>
  <c r="E102" i="1"/>
  <c r="E49" i="1"/>
  <c r="E50" i="1"/>
  <c r="F101" i="1"/>
  <c r="F102" i="1"/>
  <c r="F49" i="1"/>
  <c r="F50" i="1"/>
  <c r="G101" i="1"/>
  <c r="G102" i="1"/>
  <c r="G49" i="1"/>
  <c r="G50" i="1"/>
  <c r="H102" i="1"/>
  <c r="H101" i="1"/>
  <c r="I101" i="1"/>
  <c r="I102" i="1"/>
  <c r="I49" i="1"/>
  <c r="I50" i="1"/>
  <c r="J102" i="1"/>
  <c r="J101" i="1"/>
  <c r="J49" i="1"/>
  <c r="J50" i="1"/>
  <c r="K101" i="1"/>
  <c r="K102" i="1"/>
  <c r="K49" i="1"/>
  <c r="K50" i="1"/>
  <c r="L101" i="1"/>
  <c r="L102" i="1"/>
  <c r="L49" i="1"/>
  <c r="L50" i="1"/>
  <c r="M101" i="1"/>
  <c r="M102" i="1"/>
  <c r="M49" i="1"/>
  <c r="M50" i="1"/>
  <c r="N101" i="1"/>
  <c r="N102" i="1"/>
  <c r="N49" i="1"/>
  <c r="N50" i="1"/>
  <c r="O101" i="1"/>
  <c r="O102" i="1"/>
  <c r="P101" i="1"/>
  <c r="P102" i="1"/>
  <c r="P49" i="1"/>
  <c r="P50" i="1"/>
  <c r="B22" i="23"/>
  <c r="B21" i="18"/>
  <c r="B21" i="23"/>
  <c r="B20" i="18"/>
  <c r="B20" i="23"/>
  <c r="B19" i="18"/>
  <c r="B19" i="23"/>
  <c r="B18" i="18"/>
  <c r="B18" i="23"/>
  <c r="B17" i="18"/>
  <c r="B17" i="23"/>
  <c r="B16" i="18"/>
  <c r="B16" i="23"/>
  <c r="B11" i="23"/>
  <c r="B10" i="23"/>
  <c r="B9" i="23"/>
  <c r="B8" i="23"/>
  <c r="E114" i="22"/>
  <c r="F114" i="22"/>
  <c r="G114" i="22"/>
  <c r="H114" i="22"/>
  <c r="I114" i="22"/>
  <c r="J114" i="22"/>
  <c r="K114" i="22"/>
  <c r="L114" i="22"/>
  <c r="M114" i="22"/>
  <c r="N114" i="22"/>
  <c r="O114" i="22"/>
  <c r="A112" i="22"/>
  <c r="S111" i="22"/>
  <c r="E105" i="22"/>
  <c r="F105" i="22"/>
  <c r="G105" i="22"/>
  <c r="H105" i="22"/>
  <c r="I105" i="22"/>
  <c r="J105" i="22"/>
  <c r="K105" i="22"/>
  <c r="L105" i="22"/>
  <c r="M105" i="22"/>
  <c r="N105" i="22"/>
  <c r="O105" i="22"/>
  <c r="S102" i="22"/>
  <c r="E96" i="22"/>
  <c r="F96" i="22"/>
  <c r="G96" i="22"/>
  <c r="H96" i="22"/>
  <c r="I96" i="22"/>
  <c r="J96" i="22"/>
  <c r="K96" i="22"/>
  <c r="L96" i="22"/>
  <c r="M96" i="22"/>
  <c r="N96" i="22"/>
  <c r="O96" i="22"/>
  <c r="S93" i="22"/>
  <c r="E86" i="22"/>
  <c r="F86" i="22"/>
  <c r="G86" i="22"/>
  <c r="H86" i="22"/>
  <c r="I86" i="22"/>
  <c r="J86" i="22"/>
  <c r="K86" i="22"/>
  <c r="L86" i="22"/>
  <c r="M86" i="22"/>
  <c r="N86" i="22"/>
  <c r="O86" i="22"/>
  <c r="S83" i="22"/>
  <c r="E76" i="22"/>
  <c r="F76" i="22"/>
  <c r="G76" i="22"/>
  <c r="H76" i="22"/>
  <c r="I76" i="22"/>
  <c r="J76" i="22"/>
  <c r="K76" i="22"/>
  <c r="L76" i="22"/>
  <c r="M76" i="22"/>
  <c r="N76" i="22"/>
  <c r="O76" i="22"/>
  <c r="S73" i="22"/>
  <c r="E66" i="22"/>
  <c r="F66" i="22"/>
  <c r="G66" i="22"/>
  <c r="H66" i="22"/>
  <c r="I66" i="22"/>
  <c r="J66" i="22"/>
  <c r="K66" i="22"/>
  <c r="L66" i="22"/>
  <c r="M66" i="22"/>
  <c r="N66" i="22"/>
  <c r="O66" i="22"/>
  <c r="S63" i="22"/>
  <c r="D54" i="22"/>
  <c r="D55" i="22"/>
  <c r="E54" i="22"/>
  <c r="E55" i="22"/>
  <c r="F54" i="22"/>
  <c r="F55" i="22"/>
  <c r="G54" i="22"/>
  <c r="G55" i="22"/>
  <c r="H54" i="22"/>
  <c r="H55" i="22"/>
  <c r="I54" i="22"/>
  <c r="I55" i="22"/>
  <c r="J54" i="22"/>
  <c r="J55" i="22"/>
  <c r="K54" i="22"/>
  <c r="K55" i="22"/>
  <c r="L54" i="22"/>
  <c r="L55" i="22"/>
  <c r="M54" i="22"/>
  <c r="M55" i="22"/>
  <c r="N54" i="22"/>
  <c r="N55" i="22"/>
  <c r="D42" i="22"/>
  <c r="E42" i="22"/>
  <c r="F42" i="22"/>
  <c r="G42" i="22"/>
  <c r="H42" i="22"/>
  <c r="I42" i="22"/>
  <c r="J42" i="22"/>
  <c r="K42" i="22"/>
  <c r="L42" i="22"/>
  <c r="M42" i="22"/>
  <c r="N42" i="22"/>
  <c r="D43" i="22"/>
  <c r="E43" i="22"/>
  <c r="F43" i="22"/>
  <c r="G43" i="22"/>
  <c r="H43" i="22"/>
  <c r="I43" i="22"/>
  <c r="J43" i="22"/>
  <c r="K43" i="22"/>
  <c r="L43" i="22"/>
  <c r="M43" i="22"/>
  <c r="N43" i="22"/>
  <c r="N44" i="22"/>
  <c r="D47" i="22"/>
  <c r="E47" i="22"/>
  <c r="F47" i="22"/>
  <c r="G47" i="22"/>
  <c r="H47" i="22"/>
  <c r="I47" i="22"/>
  <c r="J47" i="22"/>
  <c r="K47" i="22"/>
  <c r="L47" i="22"/>
  <c r="M47" i="22"/>
  <c r="N47" i="22"/>
  <c r="N48" i="22"/>
  <c r="M44" i="22"/>
  <c r="M48" i="22"/>
  <c r="L44" i="22"/>
  <c r="L48" i="22"/>
  <c r="K44" i="22"/>
  <c r="K48" i="22"/>
  <c r="J44" i="22"/>
  <c r="J48" i="22"/>
  <c r="I44" i="22"/>
  <c r="I48" i="22"/>
  <c r="H44" i="22"/>
  <c r="H48" i="22"/>
  <c r="G44" i="22"/>
  <c r="G48" i="22"/>
  <c r="F44" i="22"/>
  <c r="F48" i="22"/>
  <c r="E44" i="22"/>
  <c r="E48" i="22"/>
  <c r="D44" i="22"/>
  <c r="D48" i="22"/>
  <c r="C44" i="22"/>
  <c r="C45" i="22"/>
  <c r="C46" i="22"/>
  <c r="C48" i="22"/>
  <c r="D45" i="22"/>
  <c r="D46" i="22"/>
  <c r="E45" i="22"/>
  <c r="E46" i="22"/>
  <c r="F45" i="22"/>
  <c r="F46" i="22"/>
  <c r="G45" i="22"/>
  <c r="G46" i="22"/>
  <c r="H45" i="22"/>
  <c r="H46" i="22"/>
  <c r="I45" i="22"/>
  <c r="I46" i="22"/>
  <c r="J45" i="22"/>
  <c r="J46" i="22"/>
  <c r="K45" i="22"/>
  <c r="K46" i="22"/>
  <c r="L45" i="22"/>
  <c r="L46" i="22"/>
  <c r="M45" i="22"/>
  <c r="M46" i="22"/>
  <c r="N45" i="22"/>
  <c r="N46" i="22"/>
  <c r="J40" i="22"/>
  <c r="N33" i="22"/>
  <c r="D36" i="22"/>
  <c r="E36" i="22"/>
  <c r="F36" i="22"/>
  <c r="G36" i="22"/>
  <c r="H36" i="22"/>
  <c r="I36" i="22"/>
  <c r="J36" i="22"/>
  <c r="K36" i="22"/>
  <c r="L36" i="22"/>
  <c r="M36" i="22"/>
  <c r="N36" i="22"/>
  <c r="N37" i="22"/>
  <c r="M33" i="22"/>
  <c r="M37" i="22"/>
  <c r="L33" i="22"/>
  <c r="L37" i="22"/>
  <c r="K33" i="22"/>
  <c r="K37" i="22"/>
  <c r="J33" i="22"/>
  <c r="J37" i="22"/>
  <c r="I33" i="22"/>
  <c r="I37" i="22"/>
  <c r="H33" i="22"/>
  <c r="H37" i="22"/>
  <c r="G33" i="22"/>
  <c r="G37" i="22"/>
  <c r="F33" i="22"/>
  <c r="F37" i="22"/>
  <c r="E33" i="22"/>
  <c r="E37" i="22"/>
  <c r="C33" i="22"/>
  <c r="C34" i="22"/>
  <c r="C35" i="22"/>
  <c r="C37" i="22"/>
  <c r="D34" i="22"/>
  <c r="D35" i="22"/>
  <c r="E34" i="22"/>
  <c r="E35" i="22"/>
  <c r="F34" i="22"/>
  <c r="F35" i="22"/>
  <c r="G34" i="22"/>
  <c r="G35" i="22"/>
  <c r="H34" i="22"/>
  <c r="H35" i="22"/>
  <c r="I34" i="22"/>
  <c r="I35" i="22"/>
  <c r="J34" i="22"/>
  <c r="J35" i="22"/>
  <c r="K34" i="22"/>
  <c r="K35" i="22"/>
  <c r="L34" i="22"/>
  <c r="L35" i="22"/>
  <c r="M34" i="22"/>
  <c r="M35" i="22"/>
  <c r="N34" i="22"/>
  <c r="N35" i="22"/>
  <c r="D20" i="22"/>
  <c r="E20" i="22"/>
  <c r="F20" i="22"/>
  <c r="G20" i="22"/>
  <c r="H20" i="22"/>
  <c r="I20" i="22"/>
  <c r="J20" i="22"/>
  <c r="K20" i="22"/>
  <c r="L20" i="22"/>
  <c r="M20" i="22"/>
  <c r="N20" i="22"/>
  <c r="D21" i="22"/>
  <c r="E21" i="22"/>
  <c r="F21" i="22"/>
  <c r="G21" i="22"/>
  <c r="H21" i="22"/>
  <c r="I21" i="22"/>
  <c r="J21" i="22"/>
  <c r="K21" i="22"/>
  <c r="L21" i="22"/>
  <c r="M21" i="22"/>
  <c r="N21" i="22"/>
  <c r="N22" i="22"/>
  <c r="D25" i="22"/>
  <c r="E25" i="22"/>
  <c r="F25" i="22"/>
  <c r="G25" i="22"/>
  <c r="H25" i="22"/>
  <c r="I25" i="22"/>
  <c r="J25" i="22"/>
  <c r="K25" i="22"/>
  <c r="L25" i="22"/>
  <c r="M25" i="22"/>
  <c r="N25" i="22"/>
  <c r="N26" i="22"/>
  <c r="M22" i="22"/>
  <c r="M26" i="22"/>
  <c r="L22" i="22"/>
  <c r="L26" i="22"/>
  <c r="K22" i="22"/>
  <c r="K26" i="22"/>
  <c r="J22" i="22"/>
  <c r="J26" i="22"/>
  <c r="I22" i="22"/>
  <c r="I26" i="22"/>
  <c r="H22" i="22"/>
  <c r="H26" i="22"/>
  <c r="G22" i="22"/>
  <c r="G26" i="22"/>
  <c r="F22" i="22"/>
  <c r="F26" i="22"/>
  <c r="E22" i="22"/>
  <c r="E26" i="22"/>
  <c r="D22" i="22"/>
  <c r="D26" i="22"/>
  <c r="C22" i="22"/>
  <c r="C23" i="22"/>
  <c r="C24" i="22"/>
  <c r="C26" i="22"/>
  <c r="D23" i="22"/>
  <c r="D24" i="22"/>
  <c r="E23" i="22"/>
  <c r="E24" i="22"/>
  <c r="F23" i="22"/>
  <c r="F24" i="22"/>
  <c r="G23" i="22"/>
  <c r="G24" i="22"/>
  <c r="H23" i="22"/>
  <c r="H24" i="22"/>
  <c r="I23" i="22"/>
  <c r="I24" i="22"/>
  <c r="J23" i="22"/>
  <c r="J24" i="22"/>
  <c r="K23" i="22"/>
  <c r="K24" i="22"/>
  <c r="L23" i="22"/>
  <c r="L24" i="22"/>
  <c r="M23" i="22"/>
  <c r="M24" i="22"/>
  <c r="N23" i="22"/>
  <c r="N24" i="22"/>
  <c r="D9" i="22"/>
  <c r="E9" i="22"/>
  <c r="F9" i="22"/>
  <c r="G9" i="22"/>
  <c r="H9" i="22"/>
  <c r="I9" i="22"/>
  <c r="J9" i="22"/>
  <c r="K9" i="22"/>
  <c r="L9" i="22"/>
  <c r="M9" i="22"/>
  <c r="N9" i="22"/>
  <c r="D10" i="22"/>
  <c r="E10" i="22"/>
  <c r="F10" i="22"/>
  <c r="G10" i="22"/>
  <c r="H10" i="22"/>
  <c r="I10" i="22"/>
  <c r="J10" i="22"/>
  <c r="K10" i="22"/>
  <c r="L10" i="22"/>
  <c r="M10" i="22"/>
  <c r="N10" i="22"/>
  <c r="N11" i="22"/>
  <c r="D14" i="22"/>
  <c r="E14" i="22"/>
  <c r="F14" i="22"/>
  <c r="G14" i="22"/>
  <c r="H14" i="22"/>
  <c r="I14" i="22"/>
  <c r="J14" i="22"/>
  <c r="K14" i="22"/>
  <c r="L14" i="22"/>
  <c r="M14" i="22"/>
  <c r="N14" i="22"/>
  <c r="N15" i="22"/>
  <c r="M11" i="22"/>
  <c r="M15" i="22"/>
  <c r="L11" i="22"/>
  <c r="L15" i="22"/>
  <c r="K11" i="22"/>
  <c r="K15" i="22"/>
  <c r="J11" i="22"/>
  <c r="J15" i="22"/>
  <c r="I11" i="22"/>
  <c r="I15" i="22"/>
  <c r="H11" i="22"/>
  <c r="H15" i="22"/>
  <c r="G11" i="22"/>
  <c r="G15" i="22"/>
  <c r="F11" i="22"/>
  <c r="F15" i="22"/>
  <c r="E11" i="22"/>
  <c r="E15" i="22"/>
  <c r="D11" i="22"/>
  <c r="D15" i="22"/>
  <c r="C11" i="22"/>
  <c r="C12" i="22"/>
  <c r="C13" i="22"/>
  <c r="C15" i="22"/>
  <c r="D12" i="22"/>
  <c r="D13" i="22"/>
  <c r="E12" i="22"/>
  <c r="E13" i="22"/>
  <c r="F12" i="22"/>
  <c r="F13" i="22"/>
  <c r="G12" i="22"/>
  <c r="G13" i="22"/>
  <c r="H12" i="22"/>
  <c r="H13" i="22"/>
  <c r="I12" i="22"/>
  <c r="I13" i="22"/>
  <c r="J12" i="22"/>
  <c r="J13" i="22"/>
  <c r="K12" i="22"/>
  <c r="K13" i="22"/>
  <c r="L12" i="22"/>
  <c r="L13" i="22"/>
  <c r="M12" i="22"/>
  <c r="M13" i="22"/>
  <c r="N12" i="22"/>
  <c r="N13" i="22"/>
  <c r="L38" i="20"/>
  <c r="M38" i="20"/>
  <c r="N38" i="20"/>
  <c r="G38" i="20"/>
  <c r="H38" i="20"/>
  <c r="D38" i="20"/>
  <c r="E38" i="20"/>
  <c r="A38" i="20"/>
  <c r="A37" i="20"/>
  <c r="C25" i="20"/>
  <c r="D25" i="20"/>
  <c r="E25" i="20"/>
  <c r="F25" i="20"/>
  <c r="G25" i="20"/>
  <c r="H25" i="20"/>
  <c r="I25" i="20"/>
  <c r="J25" i="20"/>
  <c r="K25" i="20"/>
  <c r="L25" i="20"/>
  <c r="M25" i="20"/>
  <c r="N25" i="20"/>
  <c r="C13" i="20"/>
  <c r="C15" i="20" s="1"/>
  <c r="D13" i="20"/>
  <c r="J13" i="20"/>
  <c r="K13" i="20"/>
  <c r="L13" i="20"/>
  <c r="M13" i="20"/>
  <c r="N13" i="20"/>
  <c r="B19" i="20"/>
  <c r="B8" i="20"/>
  <c r="B7" i="20"/>
  <c r="B6" i="20"/>
  <c r="B5" i="20"/>
  <c r="B4" i="20"/>
  <c r="N2" i="20"/>
  <c r="L2" i="20"/>
  <c r="J2" i="20"/>
  <c r="H2" i="20"/>
  <c r="F2" i="20"/>
  <c r="D2" i="20"/>
  <c r="B109" i="19"/>
  <c r="Q25" i="19"/>
  <c r="Q24" i="19"/>
  <c r="AB19" i="19"/>
  <c r="AA19" i="19"/>
  <c r="Z19" i="19"/>
  <c r="Y19" i="19"/>
  <c r="X19" i="19"/>
  <c r="W19" i="19"/>
  <c r="V19" i="19"/>
  <c r="U19" i="19"/>
  <c r="T19" i="19"/>
  <c r="S19" i="19"/>
  <c r="R19" i="19"/>
  <c r="Q19" i="19"/>
  <c r="AC16" i="19"/>
  <c r="AC15" i="19"/>
  <c r="AC14" i="19"/>
  <c r="AC13" i="19"/>
  <c r="AC12" i="19"/>
  <c r="AB6" i="19"/>
  <c r="Z6" i="19"/>
  <c r="X6" i="19"/>
  <c r="V6" i="19"/>
  <c r="T6" i="19"/>
  <c r="R6" i="19"/>
  <c r="B22" i="18"/>
  <c r="B11" i="18"/>
  <c r="B10" i="18"/>
  <c r="B9" i="18"/>
  <c r="B8" i="18"/>
  <c r="A109" i="12"/>
  <c r="A100" i="12"/>
  <c r="A91" i="12"/>
  <c r="A81" i="12"/>
  <c r="S111" i="12"/>
  <c r="S102" i="12"/>
  <c r="S93" i="12"/>
  <c r="S83" i="12"/>
  <c r="A71" i="12"/>
  <c r="AD61" i="12"/>
  <c r="Z61" i="12"/>
  <c r="V61" i="12"/>
  <c r="S73" i="12"/>
  <c r="A61" i="12"/>
  <c r="N29" i="12"/>
  <c r="N40" i="12" s="1"/>
  <c r="M29" i="12"/>
  <c r="M40" i="12" s="1"/>
  <c r="L29" i="12"/>
  <c r="L40" i="12" s="1"/>
  <c r="K29" i="12"/>
  <c r="K40" i="12" s="1"/>
  <c r="J29" i="12"/>
  <c r="J40" i="12" s="1"/>
  <c r="I29" i="12"/>
  <c r="I40" i="12" s="1"/>
  <c r="H29" i="12"/>
  <c r="H40" i="12" s="1"/>
  <c r="G29" i="12"/>
  <c r="G40" i="12" s="1"/>
  <c r="F29" i="12"/>
  <c r="F40" i="12" s="1"/>
  <c r="E29" i="12"/>
  <c r="E40" i="12" s="1"/>
  <c r="A11" i="18"/>
  <c r="A10" i="18"/>
  <c r="A9" i="18"/>
  <c r="A8" i="18"/>
  <c r="A21" i="18"/>
  <c r="A20" i="18"/>
  <c r="A19" i="18"/>
  <c r="A34" i="18"/>
  <c r="A33" i="18"/>
  <c r="A32" i="18"/>
  <c r="Q34" i="1"/>
  <c r="Q35" i="1"/>
  <c r="Q36" i="1"/>
  <c r="Q37" i="1"/>
  <c r="Q38" i="1"/>
  <c r="Q19" i="1"/>
  <c r="Q39" i="1"/>
  <c r="Q20" i="1"/>
  <c r="Q40" i="1"/>
  <c r="C30" i="1"/>
  <c r="C29" i="1"/>
  <c r="Q24" i="1"/>
  <c r="Q25" i="1"/>
  <c r="Q26" i="1"/>
  <c r="Q27" i="1"/>
  <c r="Q28" i="1"/>
  <c r="Q29" i="1"/>
  <c r="Q30" i="1"/>
  <c r="C87" i="1"/>
  <c r="C86" i="1"/>
  <c r="C85" i="1"/>
  <c r="C84" i="1"/>
  <c r="C83" i="1"/>
  <c r="C82" i="1"/>
  <c r="B96" i="2"/>
  <c r="B95" i="2"/>
  <c r="B94" i="2"/>
  <c r="B93" i="2"/>
  <c r="B92" i="2"/>
  <c r="B10" i="2"/>
  <c r="B9" i="2"/>
  <c r="B8" i="2"/>
  <c r="B7" i="2"/>
  <c r="B6" i="2"/>
  <c r="A42" i="13"/>
  <c r="A41" i="13"/>
  <c r="F77" i="1"/>
  <c r="G77" i="1" s="1"/>
  <c r="H77" i="1" s="1"/>
  <c r="I77" i="1" s="1"/>
  <c r="J77" i="1" s="1"/>
  <c r="K77" i="1" s="1"/>
  <c r="L77" i="1" s="1"/>
  <c r="M77" i="1" s="1"/>
  <c r="N77" i="1" s="1"/>
  <c r="O77" i="1" s="1"/>
  <c r="P77" i="1" s="1"/>
  <c r="F76" i="1"/>
  <c r="G76" i="1" s="1"/>
  <c r="H76" i="1" s="1"/>
  <c r="I76" i="1" s="1"/>
  <c r="J76" i="1" s="1"/>
  <c r="K76" i="1" s="1"/>
  <c r="L76" i="1" s="1"/>
  <c r="M76" i="1" s="1"/>
  <c r="N76" i="1" s="1"/>
  <c r="O76" i="1" s="1"/>
  <c r="P76" i="1" s="1"/>
  <c r="F75" i="1"/>
  <c r="G75" i="1" s="1"/>
  <c r="H75" i="1" s="1"/>
  <c r="I75" i="1" s="1"/>
  <c r="J75" i="1" s="1"/>
  <c r="K75" i="1" s="1"/>
  <c r="L75" i="1" s="1"/>
  <c r="M75" i="1" s="1"/>
  <c r="N75" i="1" s="1"/>
  <c r="O75" i="1" s="1"/>
  <c r="P75" i="1" s="1"/>
  <c r="C74" i="1"/>
  <c r="A5" i="25" s="1"/>
  <c r="C73" i="1"/>
  <c r="A4" i="25" s="1"/>
  <c r="P11" i="1"/>
  <c r="P92" i="1" s="1"/>
  <c r="O11" i="1"/>
  <c r="O92" i="1" s="1"/>
  <c r="N11" i="1"/>
  <c r="N92" i="1" s="1"/>
  <c r="M11" i="1"/>
  <c r="M92" i="1" s="1"/>
  <c r="L11" i="1"/>
  <c r="L92" i="1" s="1"/>
  <c r="K11" i="1"/>
  <c r="K92" i="1" s="1"/>
  <c r="J11" i="1"/>
  <c r="J92" i="1" s="1"/>
  <c r="I11" i="1"/>
  <c r="I92" i="1" s="1"/>
  <c r="H11" i="1"/>
  <c r="H92" i="1" s="1"/>
  <c r="G11" i="1"/>
  <c r="G92" i="1" s="1"/>
  <c r="F11" i="1"/>
  <c r="F92" i="1" s="1"/>
  <c r="E11" i="1"/>
  <c r="E92" i="1" s="1"/>
  <c r="P54" i="1"/>
  <c r="O54" i="1"/>
  <c r="N54" i="1"/>
  <c r="M54" i="1"/>
  <c r="L54" i="1"/>
  <c r="K54" i="1"/>
  <c r="J54" i="1"/>
  <c r="I54" i="1"/>
  <c r="H54" i="1"/>
  <c r="G54" i="1"/>
  <c r="E54" i="1"/>
  <c r="C40" i="1"/>
  <c r="C50" i="1" s="1"/>
  <c r="C39" i="1"/>
  <c r="C49" i="1" s="1"/>
  <c r="C18" i="1"/>
  <c r="C28" i="1" s="1"/>
  <c r="C38" i="1" s="1"/>
  <c r="C48" i="1" s="1"/>
  <c r="C17" i="1"/>
  <c r="C27" i="1" s="1"/>
  <c r="C37" i="1" s="1"/>
  <c r="C47" i="1" s="1"/>
  <c r="C16" i="1"/>
  <c r="C26" i="1" s="1"/>
  <c r="C36" i="1" s="1"/>
  <c r="C46" i="1" s="1"/>
  <c r="C15" i="1"/>
  <c r="C25" i="1" s="1"/>
  <c r="C35" i="1" s="1"/>
  <c r="C45" i="1" s="1"/>
  <c r="C14" i="1"/>
  <c r="C24" i="1" s="1"/>
  <c r="C34" i="1" s="1"/>
  <c r="C44" i="1" s="1"/>
  <c r="C21" i="17"/>
  <c r="B20" i="17"/>
  <c r="J16" i="17"/>
  <c r="J8" i="17"/>
  <c r="D18" i="17"/>
  <c r="D19" i="17"/>
  <c r="D20" i="17"/>
  <c r="J5" i="17"/>
  <c r="C16" i="17"/>
  <c r="B16" i="17"/>
  <c r="H7" i="17"/>
  <c r="H6" i="17"/>
  <c r="H5" i="17"/>
  <c r="H4" i="17"/>
  <c r="H3" i="17"/>
  <c r="B2" i="17"/>
  <c r="D9" i="17"/>
  <c r="D8" i="17"/>
  <c r="D7" i="17"/>
  <c r="D12" i="17"/>
  <c r="B12" i="17"/>
  <c r="J9" i="16"/>
  <c r="J10" i="16"/>
  <c r="J11" i="16"/>
  <c r="C18" i="16"/>
  <c r="P8" i="16"/>
  <c r="P9" i="16"/>
  <c r="P10" i="16"/>
  <c r="P11" i="16"/>
  <c r="D6" i="16"/>
  <c r="D7" i="16"/>
  <c r="D10" i="16"/>
  <c r="D11" i="16"/>
  <c r="F44" i="14"/>
  <c r="G39" i="14"/>
  <c r="H39" i="14" s="1"/>
  <c r="I39" i="14" s="1"/>
  <c r="J39" i="14" s="1"/>
  <c r="K39" i="14" s="1"/>
  <c r="L39" i="14" s="1"/>
  <c r="G40" i="14"/>
  <c r="H40" i="14" s="1"/>
  <c r="I40" i="14" s="1"/>
  <c r="G41" i="14"/>
  <c r="G43" i="14"/>
  <c r="H43" i="14" s="1"/>
  <c r="I43" i="14" s="1"/>
  <c r="J43" i="14" s="1"/>
  <c r="K43" i="14" s="1"/>
  <c r="G42" i="14"/>
  <c r="H42" i="14" s="1"/>
  <c r="I42" i="14" s="1"/>
  <c r="J42" i="14" s="1"/>
  <c r="K42" i="14" s="1"/>
  <c r="H41" i="14"/>
  <c r="I41" i="14"/>
  <c r="J41" i="14" s="1"/>
  <c r="K41" i="14" s="1"/>
  <c r="B109" i="9"/>
  <c r="B29" i="14"/>
  <c r="K30" i="16"/>
  <c r="L30" i="16"/>
  <c r="N30" i="16"/>
  <c r="O30" i="16"/>
  <c r="P30" i="16"/>
  <c r="Q30" i="16"/>
  <c r="R30" i="16"/>
  <c r="S30" i="16"/>
  <c r="T30" i="16"/>
  <c r="U30" i="16"/>
  <c r="V30" i="16"/>
  <c r="J21" i="16"/>
  <c r="J20" i="16"/>
  <c r="J16" i="16"/>
  <c r="V5" i="16"/>
  <c r="V6" i="16"/>
  <c r="V7" i="16"/>
  <c r="V8" i="16"/>
  <c r="V9" i="16"/>
  <c r="V10" i="16"/>
  <c r="V11" i="16"/>
  <c r="S63" i="12"/>
  <c r="Q2" i="14"/>
  <c r="P2" i="14"/>
  <c r="O2" i="14"/>
  <c r="N2" i="14"/>
  <c r="M2" i="14"/>
  <c r="L2" i="14"/>
  <c r="K2" i="14"/>
  <c r="J2" i="14"/>
  <c r="I2" i="14"/>
  <c r="H2" i="14"/>
  <c r="G2" i="14"/>
  <c r="F2" i="14"/>
  <c r="B8" i="13"/>
  <c r="B7" i="13"/>
  <c r="B5" i="13"/>
  <c r="B6" i="13"/>
  <c r="B4" i="13"/>
  <c r="F74" i="1"/>
  <c r="G74" i="1" s="1"/>
  <c r="H74" i="1" s="1"/>
  <c r="I74" i="1" s="1"/>
  <c r="J74" i="1" s="1"/>
  <c r="K74" i="1" s="1"/>
  <c r="L74" i="1" s="1"/>
  <c r="M74" i="1" s="1"/>
  <c r="N74" i="1" s="1"/>
  <c r="O74" i="1" s="1"/>
  <c r="P74" i="1" s="1"/>
  <c r="N2" i="13"/>
  <c r="N25" i="27" s="1"/>
  <c r="Z25" i="27" s="1"/>
  <c r="M2" i="13"/>
  <c r="M25" i="27" s="1"/>
  <c r="Y25" i="27" s="1"/>
  <c r="L2" i="13"/>
  <c r="L25" i="27" s="1"/>
  <c r="X25" i="27" s="1"/>
  <c r="K2" i="13"/>
  <c r="K25" i="27" s="1"/>
  <c r="W25" i="27" s="1"/>
  <c r="J2" i="13"/>
  <c r="J25" i="27" s="1"/>
  <c r="V25" i="27" s="1"/>
  <c r="I2" i="13"/>
  <c r="I25" i="27" s="1"/>
  <c r="U25" i="27" s="1"/>
  <c r="H2" i="13"/>
  <c r="H25" i="27" s="1"/>
  <c r="T25" i="27" s="1"/>
  <c r="G2" i="13"/>
  <c r="G25" i="27" s="1"/>
  <c r="S25" i="27" s="1"/>
  <c r="F2" i="13"/>
  <c r="F25" i="27" s="1"/>
  <c r="R25" i="27" s="1"/>
  <c r="E2" i="13"/>
  <c r="E25" i="27" s="1"/>
  <c r="Q25" i="27" s="1"/>
  <c r="D2" i="13"/>
  <c r="D25" i="27" s="1"/>
  <c r="P25" i="27" s="1"/>
  <c r="AB6" i="9"/>
  <c r="Z6" i="9"/>
  <c r="X6" i="9"/>
  <c r="W6" i="9"/>
  <c r="V6" i="9"/>
  <c r="T6" i="9"/>
  <c r="O36" i="2"/>
  <c r="O63" i="2" s="1"/>
  <c r="N36" i="2"/>
  <c r="N63" i="2" s="1"/>
  <c r="M36" i="2"/>
  <c r="M63" i="2" s="1"/>
  <c r="L36" i="2"/>
  <c r="L63" i="2" s="1"/>
  <c r="K36" i="2"/>
  <c r="K63" i="2" s="1"/>
  <c r="J36" i="2"/>
  <c r="J63" i="2" s="1"/>
  <c r="I36" i="2"/>
  <c r="I63" i="2" s="1"/>
  <c r="H36" i="2"/>
  <c r="H63" i="2" s="1"/>
  <c r="G36" i="2"/>
  <c r="G63" i="2" s="1"/>
  <c r="F36" i="2"/>
  <c r="F63" i="2" s="1"/>
  <c r="E36" i="2"/>
  <c r="E63" i="2" s="1"/>
  <c r="D36" i="2"/>
  <c r="D63" i="2" s="1"/>
  <c r="H49" i="1"/>
  <c r="O49" i="1"/>
  <c r="Q49" i="1"/>
  <c r="H50" i="1"/>
  <c r="O50" i="1"/>
  <c r="Q50" i="1" s="1"/>
  <c r="I11" i="10"/>
  <c r="L11" i="10"/>
  <c r="I12" i="10"/>
  <c r="L12" i="10"/>
  <c r="I13" i="10"/>
  <c r="L13" i="10"/>
  <c r="I14" i="10"/>
  <c r="L14" i="10"/>
  <c r="I15" i="10"/>
  <c r="L15" i="10"/>
  <c r="I16" i="10"/>
  <c r="L16" i="10"/>
  <c r="K35" i="10"/>
  <c r="G23" i="10"/>
  <c r="K37" i="10"/>
  <c r="K38" i="10"/>
  <c r="K39" i="10"/>
  <c r="G21" i="10"/>
  <c r="K40" i="10"/>
  <c r="K41" i="10"/>
  <c r="G25" i="10"/>
  <c r="K42" i="10"/>
  <c r="K43" i="10"/>
  <c r="G22" i="10"/>
  <c r="G28" i="10"/>
  <c r="G24" i="10"/>
  <c r="G27" i="10"/>
  <c r="G30" i="10"/>
  <c r="G26" i="10"/>
  <c r="G29" i="10"/>
  <c r="J37" i="10"/>
  <c r="J38" i="10"/>
  <c r="J39" i="10"/>
  <c r="J40" i="10"/>
  <c r="J41" i="10"/>
  <c r="J42" i="10"/>
  <c r="J43" i="10"/>
  <c r="J36" i="10"/>
  <c r="F23" i="10"/>
  <c r="J35" i="10"/>
  <c r="F24" i="10"/>
  <c r="F28" i="10"/>
  <c r="F29" i="10"/>
  <c r="F26" i="10"/>
  <c r="F30" i="10"/>
  <c r="F21" i="10"/>
  <c r="F27" i="10"/>
  <c r="F25" i="10"/>
  <c r="F22" i="10"/>
  <c r="M11" i="10"/>
  <c r="M12" i="10"/>
  <c r="M13" i="10"/>
  <c r="M14" i="10"/>
  <c r="M15" i="10"/>
  <c r="M16" i="10"/>
  <c r="C21" i="10"/>
  <c r="H30" i="10"/>
  <c r="I30" i="10"/>
  <c r="L30" i="10"/>
  <c r="M30" i="10"/>
  <c r="H25" i="10"/>
  <c r="I25" i="10"/>
  <c r="L25" i="10"/>
  <c r="M25" i="10"/>
  <c r="H26" i="10"/>
  <c r="I26" i="10"/>
  <c r="L26" i="10"/>
  <c r="M26" i="10"/>
  <c r="H29" i="10"/>
  <c r="I29" i="10"/>
  <c r="L29" i="10"/>
  <c r="M29" i="10"/>
  <c r="N14" i="10"/>
  <c r="H28" i="10"/>
  <c r="I28" i="10"/>
  <c r="L28" i="10"/>
  <c r="M28" i="10"/>
  <c r="H27" i="10"/>
  <c r="I27" i="10"/>
  <c r="L27" i="10"/>
  <c r="M27" i="10"/>
  <c r="N13" i="10"/>
  <c r="N12" i="10"/>
  <c r="N16" i="10"/>
  <c r="N15" i="10"/>
  <c r="N11" i="10"/>
  <c r="C22" i="10"/>
  <c r="C23" i="10"/>
  <c r="C24" i="10"/>
  <c r="C25" i="10"/>
  <c r="C26" i="10"/>
  <c r="C27" i="10"/>
  <c r="C28" i="10"/>
  <c r="C29" i="10"/>
  <c r="C30" i="10"/>
  <c r="D21" i="10"/>
  <c r="B22" i="10"/>
  <c r="B23" i="10"/>
  <c r="B24" i="10"/>
  <c r="B25" i="10"/>
  <c r="B26" i="10"/>
  <c r="B27" i="10"/>
  <c r="B28" i="10"/>
  <c r="B29" i="10"/>
  <c r="B30" i="10"/>
  <c r="B21" i="10"/>
  <c r="D24" i="10"/>
  <c r="D27" i="10"/>
  <c r="E27" i="10"/>
  <c r="D23" i="10"/>
  <c r="D28" i="10"/>
  <c r="E28" i="10"/>
  <c r="D22" i="10"/>
  <c r="D30" i="10"/>
  <c r="E30" i="10"/>
  <c r="D26" i="10"/>
  <c r="E26" i="10"/>
  <c r="D29" i="10"/>
  <c r="E29" i="10"/>
  <c r="D25" i="10"/>
  <c r="E25" i="10"/>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O52" i="7"/>
  <c r="P52" i="7"/>
  <c r="O53" i="7"/>
  <c r="P53" i="7"/>
  <c r="O54" i="7"/>
  <c r="P54" i="7"/>
  <c r="O55" i="7"/>
  <c r="P55" i="7"/>
  <c r="O56" i="7"/>
  <c r="P56" i="7"/>
  <c r="O57" i="7"/>
  <c r="P57" i="7"/>
  <c r="O58" i="7"/>
  <c r="P58" i="7"/>
  <c r="O59" i="7"/>
  <c r="P59" i="7"/>
  <c r="O60" i="7"/>
  <c r="P60" i="7"/>
  <c r="O61" i="7"/>
  <c r="P61" i="7"/>
  <c r="O62" i="7"/>
  <c r="P62" i="7"/>
  <c r="O63" i="7"/>
  <c r="P63" i="7"/>
  <c r="O64" i="7"/>
  <c r="P64" i="7"/>
  <c r="O65" i="7"/>
  <c r="P65" i="7"/>
  <c r="O66" i="7"/>
  <c r="P66" i="7"/>
  <c r="O67" i="7"/>
  <c r="P67" i="7"/>
  <c r="O68" i="7"/>
  <c r="P68" i="7"/>
  <c r="O69" i="7"/>
  <c r="P69" i="7"/>
  <c r="O70" i="7"/>
  <c r="P70" i="7"/>
  <c r="O71" i="7"/>
  <c r="P71" i="7"/>
  <c r="O72" i="7"/>
  <c r="P72" i="7"/>
  <c r="O73" i="7"/>
  <c r="P73" i="7"/>
  <c r="O74" i="7"/>
  <c r="P74" i="7"/>
  <c r="O75" i="7"/>
  <c r="P75" i="7"/>
  <c r="O76" i="7"/>
  <c r="P76" i="7"/>
  <c r="O77" i="7"/>
  <c r="P77" i="7"/>
  <c r="O78" i="7"/>
  <c r="P78" i="7"/>
  <c r="O79" i="7"/>
  <c r="P79" i="7"/>
  <c r="O80" i="7"/>
  <c r="P80" i="7"/>
  <c r="O81" i="7"/>
  <c r="P81" i="7"/>
  <c r="O82" i="7"/>
  <c r="P82" i="7"/>
  <c r="O83" i="7"/>
  <c r="P83" i="7"/>
  <c r="O84" i="7"/>
  <c r="P84" i="7"/>
  <c r="O85" i="7"/>
  <c r="P85" i="7"/>
  <c r="O86" i="7"/>
  <c r="P86" i="7"/>
  <c r="O87" i="7"/>
  <c r="P87" i="7"/>
  <c r="O88" i="7"/>
  <c r="P88" i="7"/>
  <c r="O89" i="7"/>
  <c r="P89" i="7"/>
  <c r="O90" i="7"/>
  <c r="P90" i="7"/>
  <c r="O91" i="7"/>
  <c r="P91" i="7"/>
  <c r="O92" i="7"/>
  <c r="P92" i="7"/>
  <c r="O93" i="7"/>
  <c r="P93" i="7"/>
  <c r="O94" i="7"/>
  <c r="P94" i="7"/>
  <c r="O95" i="7"/>
  <c r="P95" i="7"/>
  <c r="O96" i="7"/>
  <c r="P96" i="7"/>
  <c r="O97" i="7"/>
  <c r="P97" i="7"/>
  <c r="O98" i="7"/>
  <c r="P98" i="7"/>
  <c r="O99" i="7"/>
  <c r="P99" i="7"/>
  <c r="O100" i="7"/>
  <c r="P100" i="7"/>
  <c r="O101" i="7"/>
  <c r="P101" i="7"/>
  <c r="F21" i="7"/>
  <c r="G21" i="7"/>
  <c r="F22" i="7"/>
  <c r="G22" i="7"/>
  <c r="F23" i="7"/>
  <c r="G23" i="7"/>
  <c r="F24" i="7"/>
  <c r="G24" i="7"/>
  <c r="F25" i="7"/>
  <c r="G25" i="7"/>
  <c r="F26" i="7"/>
  <c r="G26" i="7"/>
  <c r="F27" i="7"/>
  <c r="G27" i="7"/>
  <c r="F28" i="7"/>
  <c r="G28" i="7"/>
  <c r="F29" i="7"/>
  <c r="G29" i="7"/>
  <c r="F30" i="7"/>
  <c r="G30" i="7"/>
  <c r="F31" i="7"/>
  <c r="G31" i="7"/>
  <c r="F32" i="7"/>
  <c r="G32" i="7"/>
  <c r="F33" i="7"/>
  <c r="G33" i="7"/>
  <c r="F34" i="7"/>
  <c r="G34" i="7"/>
  <c r="F35" i="7"/>
  <c r="G35" i="7"/>
  <c r="F36" i="7"/>
  <c r="G36" i="7"/>
  <c r="F37" i="7"/>
  <c r="G37" i="7"/>
  <c r="F38" i="7"/>
  <c r="G38" i="7"/>
  <c r="F39" i="7"/>
  <c r="G39" i="7"/>
  <c r="F40" i="7"/>
  <c r="G40" i="7"/>
  <c r="F41" i="7"/>
  <c r="G41" i="7"/>
  <c r="F42" i="7"/>
  <c r="G42" i="7"/>
  <c r="F43" i="7"/>
  <c r="G43" i="7"/>
  <c r="F44" i="7"/>
  <c r="G44" i="7"/>
  <c r="F45" i="7"/>
  <c r="G45" i="7"/>
  <c r="F46" i="7"/>
  <c r="G46" i="7"/>
  <c r="F47" i="7"/>
  <c r="G47" i="7"/>
  <c r="F48" i="7"/>
  <c r="G48" i="7"/>
  <c r="F49" i="7"/>
  <c r="G49" i="7"/>
  <c r="F50" i="7"/>
  <c r="G50" i="7"/>
  <c r="F51" i="7"/>
  <c r="G51" i="7"/>
  <c r="F52" i="7"/>
  <c r="G52" i="7"/>
  <c r="F53" i="7"/>
  <c r="G53" i="7"/>
  <c r="F54" i="7"/>
  <c r="G54" i="7"/>
  <c r="F55" i="7"/>
  <c r="G55" i="7"/>
  <c r="F56" i="7"/>
  <c r="G56" i="7"/>
  <c r="F57" i="7"/>
  <c r="G57" i="7"/>
  <c r="F58" i="7"/>
  <c r="G58" i="7"/>
  <c r="F59" i="7"/>
  <c r="G59" i="7"/>
  <c r="F60" i="7"/>
  <c r="G60" i="7"/>
  <c r="F61" i="7"/>
  <c r="G61" i="7"/>
  <c r="F62" i="7"/>
  <c r="G62" i="7"/>
  <c r="F63" i="7"/>
  <c r="G63" i="7"/>
  <c r="F64" i="7"/>
  <c r="G64" i="7"/>
  <c r="F65" i="7"/>
  <c r="G65" i="7"/>
  <c r="F66" i="7"/>
  <c r="G66" i="7"/>
  <c r="F67" i="7"/>
  <c r="G67" i="7"/>
  <c r="F68" i="7"/>
  <c r="G68" i="7"/>
  <c r="F69" i="7"/>
  <c r="G69" i="7"/>
  <c r="F70" i="7"/>
  <c r="G70" i="7"/>
  <c r="F71" i="7"/>
  <c r="G71" i="7"/>
  <c r="F72" i="7"/>
  <c r="G72" i="7"/>
  <c r="F73" i="7"/>
  <c r="G73" i="7"/>
  <c r="F74" i="7"/>
  <c r="G74" i="7"/>
  <c r="F75" i="7"/>
  <c r="G75" i="7"/>
  <c r="F76" i="7"/>
  <c r="G76" i="7"/>
  <c r="F77" i="7"/>
  <c r="G77" i="7"/>
  <c r="F78" i="7"/>
  <c r="G78" i="7"/>
  <c r="F79" i="7"/>
  <c r="G79" i="7"/>
  <c r="F80" i="7"/>
  <c r="G80" i="7"/>
  <c r="F81" i="7"/>
  <c r="G81" i="7"/>
  <c r="F82" i="7"/>
  <c r="G82" i="7"/>
  <c r="F83" i="7"/>
  <c r="G83" i="7"/>
  <c r="F84" i="7"/>
  <c r="G84" i="7"/>
  <c r="F85" i="7"/>
  <c r="G85" i="7"/>
  <c r="F86" i="7"/>
  <c r="G86" i="7"/>
  <c r="F87" i="7"/>
  <c r="G87" i="7"/>
  <c r="F88" i="7"/>
  <c r="G88" i="7"/>
  <c r="F89" i="7"/>
  <c r="G89" i="7"/>
  <c r="F90" i="7"/>
  <c r="G90" i="7"/>
  <c r="F91" i="7"/>
  <c r="G91" i="7"/>
  <c r="F92" i="7"/>
  <c r="G92" i="7"/>
  <c r="F93" i="7"/>
  <c r="G93" i="7"/>
  <c r="F94" i="7"/>
  <c r="G94" i="7"/>
  <c r="F95" i="7"/>
  <c r="G95" i="7"/>
  <c r="F96" i="7"/>
  <c r="G96" i="7"/>
  <c r="F97" i="7"/>
  <c r="G97" i="7"/>
  <c r="F98" i="7"/>
  <c r="G98" i="7"/>
  <c r="F99" i="7"/>
  <c r="G99" i="7"/>
  <c r="F100" i="7"/>
  <c r="G100" i="7"/>
  <c r="F101" i="7"/>
  <c r="G101" i="7"/>
  <c r="F13" i="7"/>
  <c r="G13" i="7"/>
  <c r="F14" i="7"/>
  <c r="G14" i="7"/>
  <c r="F15" i="7"/>
  <c r="G15" i="7"/>
  <c r="F16" i="7"/>
  <c r="G16" i="7"/>
  <c r="F17" i="7"/>
  <c r="G17" i="7"/>
  <c r="F18" i="7"/>
  <c r="G18" i="7"/>
  <c r="F19" i="7"/>
  <c r="G19" i="7"/>
  <c r="F20" i="7"/>
  <c r="G20" i="7"/>
  <c r="Q101" i="7"/>
  <c r="Q99" i="7"/>
  <c r="R99" i="7"/>
  <c r="S99" i="7"/>
  <c r="Q57" i="7"/>
  <c r="R57" i="7"/>
  <c r="S57" i="7"/>
  <c r="Q41" i="7"/>
  <c r="Q25" i="7"/>
  <c r="Q92" i="7"/>
  <c r="Q53" i="7"/>
  <c r="Q47" i="7"/>
  <c r="R47" i="7"/>
  <c r="S47" i="7"/>
  <c r="T47" i="7"/>
  <c r="Q37" i="7"/>
  <c r="R37" i="7"/>
  <c r="S37" i="7"/>
  <c r="Q31" i="7"/>
  <c r="Q21" i="7"/>
  <c r="R21" i="7"/>
  <c r="S21" i="7"/>
  <c r="T21" i="7"/>
  <c r="Q15" i="7"/>
  <c r="R15" i="7"/>
  <c r="S15" i="7"/>
  <c r="T15" i="7"/>
  <c r="Q97" i="7"/>
  <c r="Q51" i="7"/>
  <c r="Q35" i="7"/>
  <c r="Q19" i="7"/>
  <c r="R19" i="7"/>
  <c r="S19" i="7"/>
  <c r="T19" i="7"/>
  <c r="Q59" i="7"/>
  <c r="R59" i="7"/>
  <c r="S59" i="7"/>
  <c r="T59" i="7"/>
  <c r="Q49" i="7"/>
  <c r="Q43" i="7"/>
  <c r="R43" i="7"/>
  <c r="S43" i="7"/>
  <c r="T43" i="7"/>
  <c r="Q33" i="7"/>
  <c r="R33" i="7"/>
  <c r="S33" i="7"/>
  <c r="T33" i="7"/>
  <c r="Q27" i="7"/>
  <c r="R27" i="7"/>
  <c r="S27" i="7"/>
  <c r="T27" i="7"/>
  <c r="Q17" i="7"/>
  <c r="R101" i="7"/>
  <c r="S101" i="7"/>
  <c r="T101" i="7"/>
  <c r="Q61" i="7"/>
  <c r="R61" i="7"/>
  <c r="S61" i="7"/>
  <c r="T61" i="7"/>
  <c r="Q55" i="7"/>
  <c r="Q45" i="7"/>
  <c r="Q39" i="7"/>
  <c r="Q29" i="7"/>
  <c r="R29" i="7"/>
  <c r="S29" i="7"/>
  <c r="T29" i="7"/>
  <c r="Q23" i="7"/>
  <c r="Q13" i="7"/>
  <c r="Q84" i="7"/>
  <c r="R84" i="7"/>
  <c r="S84" i="7"/>
  <c r="T84" i="7"/>
  <c r="Q76" i="7"/>
  <c r="R76" i="7"/>
  <c r="S76" i="7"/>
  <c r="T76" i="7"/>
  <c r="Q68" i="7"/>
  <c r="Q64" i="7"/>
  <c r="Q48" i="7"/>
  <c r="R48" i="7"/>
  <c r="S48" i="7"/>
  <c r="T48" i="7"/>
  <c r="Q40" i="7"/>
  <c r="R40" i="7"/>
  <c r="S40" i="7"/>
  <c r="Q32" i="7"/>
  <c r="Q24" i="7"/>
  <c r="Q20" i="7"/>
  <c r="R20" i="7"/>
  <c r="S20" i="7"/>
  <c r="Q98" i="7"/>
  <c r="Q95" i="7"/>
  <c r="R95" i="7"/>
  <c r="S95" i="7"/>
  <c r="Q94" i="7"/>
  <c r="Q90" i="7"/>
  <c r="R90" i="7"/>
  <c r="S90" i="7"/>
  <c r="Q86" i="7"/>
  <c r="R86" i="7"/>
  <c r="S86" i="7"/>
  <c r="Q82" i="7"/>
  <c r="R82" i="7"/>
  <c r="S82" i="7"/>
  <c r="Q78" i="7"/>
  <c r="R78" i="7"/>
  <c r="S78" i="7"/>
  <c r="Q74" i="7"/>
  <c r="R74" i="7"/>
  <c r="S74" i="7"/>
  <c r="Q70" i="7"/>
  <c r="R70" i="7"/>
  <c r="S70" i="7"/>
  <c r="Q66" i="7"/>
  <c r="R66" i="7"/>
  <c r="S66" i="7"/>
  <c r="Q62" i="7"/>
  <c r="R62" i="7"/>
  <c r="S62" i="7"/>
  <c r="Q58" i="7"/>
  <c r="R58" i="7"/>
  <c r="S58" i="7"/>
  <c r="Q54" i="7"/>
  <c r="R54" i="7"/>
  <c r="S54" i="7"/>
  <c r="Q50" i="7"/>
  <c r="R50" i="7"/>
  <c r="S50" i="7"/>
  <c r="Q46" i="7"/>
  <c r="R46" i="7"/>
  <c r="S46" i="7"/>
  <c r="Q42" i="7"/>
  <c r="R42" i="7"/>
  <c r="S42" i="7"/>
  <c r="Q38" i="7"/>
  <c r="R38" i="7"/>
  <c r="S38" i="7"/>
  <c r="Q34" i="7"/>
  <c r="R34" i="7"/>
  <c r="S34" i="7"/>
  <c r="Q30" i="7"/>
  <c r="R30" i="7"/>
  <c r="S30" i="7"/>
  <c r="Q26" i="7"/>
  <c r="R26" i="7"/>
  <c r="S26" i="7"/>
  <c r="Q22" i="7"/>
  <c r="R22" i="7"/>
  <c r="S22" i="7"/>
  <c r="Q18" i="7"/>
  <c r="R18" i="7"/>
  <c r="S18" i="7"/>
  <c r="Q14" i="7"/>
  <c r="R14" i="7"/>
  <c r="S14" i="7"/>
  <c r="T14" i="7"/>
  <c r="Q88" i="7"/>
  <c r="R88" i="7"/>
  <c r="S88" i="7"/>
  <c r="T88" i="7"/>
  <c r="Q72" i="7"/>
  <c r="R72" i="7"/>
  <c r="S72" i="7"/>
  <c r="Q60" i="7"/>
  <c r="Q52" i="7"/>
  <c r="Q44" i="7"/>
  <c r="R44" i="7"/>
  <c r="S44" i="7"/>
  <c r="T44" i="7"/>
  <c r="Q36" i="7"/>
  <c r="R36" i="7"/>
  <c r="S36" i="7"/>
  <c r="T36" i="7"/>
  <c r="Q28" i="7"/>
  <c r="R28" i="7"/>
  <c r="S28" i="7"/>
  <c r="Q16" i="7"/>
  <c r="R16" i="7"/>
  <c r="S16" i="7"/>
  <c r="T16" i="7"/>
  <c r="Q100" i="7"/>
  <c r="R100" i="7"/>
  <c r="S100" i="7"/>
  <c r="Q96" i="7"/>
  <c r="R96" i="7"/>
  <c r="S96" i="7"/>
  <c r="Q93" i="7"/>
  <c r="R93" i="7"/>
  <c r="S93" i="7"/>
  <c r="T93" i="7"/>
  <c r="Q91" i="7"/>
  <c r="Q89" i="7"/>
  <c r="Q87" i="7"/>
  <c r="R87" i="7"/>
  <c r="S87" i="7"/>
  <c r="T87" i="7"/>
  <c r="Q85" i="7"/>
  <c r="R85" i="7"/>
  <c r="S85" i="7"/>
  <c r="Q83" i="7"/>
  <c r="Q81" i="7"/>
  <c r="R81" i="7"/>
  <c r="S81" i="7"/>
  <c r="T81" i="7"/>
  <c r="Q79" i="7"/>
  <c r="R79" i="7"/>
  <c r="S79" i="7"/>
  <c r="T79" i="7"/>
  <c r="Q77" i="7"/>
  <c r="R77" i="7"/>
  <c r="S77" i="7"/>
  <c r="Q75" i="7"/>
  <c r="Q73" i="7"/>
  <c r="R73" i="7"/>
  <c r="S73" i="7"/>
  <c r="T73" i="7"/>
  <c r="Q71" i="7"/>
  <c r="R71" i="7"/>
  <c r="S71" i="7"/>
  <c r="T71" i="7"/>
  <c r="Q69" i="7"/>
  <c r="R69" i="7"/>
  <c r="S69" i="7"/>
  <c r="T69" i="7"/>
  <c r="Q67" i="7"/>
  <c r="Q65" i="7"/>
  <c r="R65" i="7"/>
  <c r="S65" i="7"/>
  <c r="T65" i="7"/>
  <c r="Q63" i="7"/>
  <c r="R63" i="7"/>
  <c r="S63" i="7"/>
  <c r="T63" i="7"/>
  <c r="Q80" i="7"/>
  <c r="R80" i="7"/>
  <c r="S80" i="7"/>
  <c r="T80" i="7"/>
  <c r="Q56" i="7"/>
  <c r="R91" i="7"/>
  <c r="S91" i="7"/>
  <c r="T91" i="7"/>
  <c r="R89" i="7"/>
  <c r="S89" i="7"/>
  <c r="T89" i="7"/>
  <c r="R83" i="7"/>
  <c r="S83" i="7"/>
  <c r="T83" i="7"/>
  <c r="R75" i="7"/>
  <c r="S75" i="7"/>
  <c r="T75" i="7"/>
  <c r="R67" i="7"/>
  <c r="S67" i="7"/>
  <c r="T67" i="7"/>
  <c r="R55" i="7"/>
  <c r="S55" i="7"/>
  <c r="T55" i="7"/>
  <c r="R53" i="7"/>
  <c r="S53" i="7"/>
  <c r="T53" i="7"/>
  <c r="R51" i="7"/>
  <c r="S51" i="7"/>
  <c r="T51" i="7"/>
  <c r="R49" i="7"/>
  <c r="S49" i="7"/>
  <c r="T49" i="7"/>
  <c r="R45" i="7"/>
  <c r="S45" i="7"/>
  <c r="T45" i="7"/>
  <c r="R39" i="7"/>
  <c r="S39" i="7"/>
  <c r="T39" i="7"/>
  <c r="R35" i="7"/>
  <c r="S35" i="7"/>
  <c r="T35" i="7"/>
  <c r="R31" i="7"/>
  <c r="S31" i="7"/>
  <c r="T31" i="7"/>
  <c r="R25" i="7"/>
  <c r="S25" i="7"/>
  <c r="T25" i="7"/>
  <c r="R23" i="7"/>
  <c r="S23" i="7"/>
  <c r="T23" i="7"/>
  <c r="R17" i="7"/>
  <c r="S17" i="7"/>
  <c r="T17" i="7"/>
  <c r="R13" i="7"/>
  <c r="S13" i="7"/>
  <c r="T13" i="7"/>
  <c r="T99" i="7"/>
  <c r="R92" i="7"/>
  <c r="S92" i="7"/>
  <c r="T92" i="7"/>
  <c r="R68" i="7"/>
  <c r="S68" i="7"/>
  <c r="T68" i="7"/>
  <c r="R64" i="7"/>
  <c r="S64" i="7"/>
  <c r="T64" i="7"/>
  <c r="R60" i="7"/>
  <c r="S60" i="7"/>
  <c r="T60" i="7"/>
  <c r="R56" i="7"/>
  <c r="S56" i="7"/>
  <c r="T56" i="7"/>
  <c r="R52" i="7"/>
  <c r="S52" i="7"/>
  <c r="T52" i="7"/>
  <c r="R32" i="7"/>
  <c r="S32" i="7"/>
  <c r="T32" i="7"/>
  <c r="R24" i="7"/>
  <c r="S24" i="7"/>
  <c r="T24" i="7"/>
  <c r="T95" i="7"/>
  <c r="T82" i="7"/>
  <c r="T78" i="7"/>
  <c r="T66" i="7"/>
  <c r="T62" i="7"/>
  <c r="T58" i="7"/>
  <c r="T50" i="7"/>
  <c r="T46" i="7"/>
  <c r="T42" i="7"/>
  <c r="T34" i="7"/>
  <c r="T30" i="7"/>
  <c r="T18" i="7"/>
  <c r="T20" i="7"/>
  <c r="T26" i="7"/>
  <c r="T90" i="7"/>
  <c r="T100" i="7"/>
  <c r="R41" i="7"/>
  <c r="S41" i="7"/>
  <c r="T41" i="7"/>
  <c r="T57" i="7"/>
  <c r="T74" i="7"/>
  <c r="T77" i="7"/>
  <c r="T28" i="7"/>
  <c r="T85" i="7"/>
  <c r="R98" i="7"/>
  <c r="S98" i="7"/>
  <c r="T98" i="7"/>
  <c r="T96" i="7"/>
  <c r="R97" i="7"/>
  <c r="S97" i="7"/>
  <c r="T97" i="7"/>
  <c r="T22" i="7"/>
  <c r="T38" i="7"/>
  <c r="T54" i="7"/>
  <c r="T70" i="7"/>
  <c r="T86" i="7"/>
  <c r="T40" i="7"/>
  <c r="T72" i="7"/>
  <c r="T37" i="7"/>
  <c r="R94" i="7"/>
  <c r="S94" i="7"/>
  <c r="T94" i="7"/>
  <c r="O8" i="7"/>
  <c r="P8" i="7"/>
  <c r="O9" i="7"/>
  <c r="P9" i="7"/>
  <c r="O10" i="7"/>
  <c r="P10" i="7"/>
  <c r="O11" i="7"/>
  <c r="P11" i="7"/>
  <c r="O12" i="7"/>
  <c r="P12" i="7"/>
  <c r="F8" i="7"/>
  <c r="G8" i="7"/>
  <c r="F9" i="7"/>
  <c r="G9" i="7"/>
  <c r="F10" i="7"/>
  <c r="G10" i="7"/>
  <c r="F11" i="7"/>
  <c r="G11" i="7"/>
  <c r="F12" i="7"/>
  <c r="G12" i="7"/>
  <c r="O7" i="7"/>
  <c r="Q10" i="7"/>
  <c r="R10" i="7"/>
  <c r="S10" i="7"/>
  <c r="T10" i="7"/>
  <c r="Q11" i="7"/>
  <c r="R11" i="7"/>
  <c r="S11" i="7"/>
  <c r="T11" i="7"/>
  <c r="Q12" i="7"/>
  <c r="R12" i="7"/>
  <c r="S12" i="7"/>
  <c r="T12" i="7"/>
  <c r="Q8" i="7"/>
  <c r="R8" i="7"/>
  <c r="S8" i="7"/>
  <c r="T8" i="7"/>
  <c r="Q9" i="7"/>
  <c r="R9" i="7"/>
  <c r="S9" i="7"/>
  <c r="T9" i="7"/>
  <c r="V24" i="1"/>
  <c r="AF25" i="1"/>
  <c r="V30" i="1"/>
  <c r="V28" i="1"/>
  <c r="Z29" i="1"/>
  <c r="V26" i="1"/>
  <c r="AE27" i="1"/>
  <c r="I10" i="10"/>
  <c r="E24" i="10"/>
  <c r="I9" i="10"/>
  <c r="E23" i="10"/>
  <c r="I8" i="10"/>
  <c r="E22" i="10"/>
  <c r="I7" i="10"/>
  <c r="E21" i="10"/>
  <c r="V31" i="1"/>
  <c r="P7" i="7"/>
  <c r="F7" i="7"/>
  <c r="G7" i="7"/>
  <c r="Q12" i="1"/>
  <c r="AE32" i="1"/>
  <c r="Z32" i="1"/>
  <c r="AC32" i="1"/>
  <c r="AD25" i="1"/>
  <c r="AE25" i="1"/>
  <c r="AD32" i="1"/>
  <c r="AA25" i="1"/>
  <c r="AI29" i="1"/>
  <c r="Q7" i="7"/>
  <c r="R7" i="7"/>
  <c r="S7" i="7"/>
  <c r="Y29" i="1"/>
  <c r="AA27" i="1"/>
  <c r="AC27" i="1"/>
  <c r="M8" i="10"/>
  <c r="H22" i="10"/>
  <c r="I22" i="10"/>
  <c r="L22" i="10"/>
  <c r="M22" i="10"/>
  <c r="M9" i="10"/>
  <c r="H23" i="10"/>
  <c r="I23" i="10"/>
  <c r="L23" i="10"/>
  <c r="M23" i="10"/>
  <c r="M10" i="10"/>
  <c r="H24" i="10"/>
  <c r="I24" i="10"/>
  <c r="L24" i="10"/>
  <c r="M24" i="10"/>
  <c r="M7" i="10"/>
  <c r="H21" i="10"/>
  <c r="I21" i="10"/>
  <c r="L21" i="10"/>
  <c r="M21" i="10"/>
  <c r="N10" i="10"/>
  <c r="T7" i="7"/>
  <c r="L8" i="10"/>
  <c r="L9" i="10"/>
  <c r="L10" i="10"/>
  <c r="L7" i="10"/>
  <c r="AI25" i="1"/>
  <c r="AH25" i="1"/>
  <c r="AH27" i="1"/>
  <c r="AB25" i="1"/>
  <c r="Z25" i="1"/>
  <c r="Z27" i="1"/>
  <c r="AC25" i="1"/>
  <c r="AG27" i="1"/>
  <c r="AG25" i="1"/>
  <c r="Y25" i="1"/>
  <c r="AB27" i="1"/>
  <c r="AG32" i="1"/>
  <c r="Y32" i="1"/>
  <c r="AB32" i="1"/>
  <c r="AH32" i="1"/>
  <c r="AG29" i="1"/>
  <c r="X32" i="1"/>
  <c r="AA32" i="1"/>
  <c r="AE29" i="1"/>
  <c r="AF27" i="1"/>
  <c r="AC29" i="1"/>
  <c r="AB29" i="1"/>
  <c r="AD29" i="1"/>
  <c r="AD27" i="1"/>
  <c r="AH29" i="1"/>
  <c r="AI27" i="1"/>
  <c r="X29" i="1"/>
  <c r="AA29" i="1"/>
  <c r="AF29" i="1"/>
  <c r="Y27" i="1"/>
  <c r="N8" i="10"/>
  <c r="Q104" i="1"/>
  <c r="N9" i="10"/>
  <c r="N7" i="10"/>
  <c r="X25" i="1"/>
  <c r="AF32" i="1"/>
  <c r="AI32" i="1"/>
  <c r="X27" i="1"/>
  <c r="AJ32" i="1"/>
  <c r="AK32" i="1" s="1"/>
  <c r="Q105" i="1"/>
  <c r="B6" i="25"/>
  <c r="C6" i="25"/>
  <c r="C35" i="20"/>
  <c r="F15" i="1" l="1"/>
  <c r="F45" i="1" s="1"/>
  <c r="R23" i="9"/>
  <c r="E63" i="12"/>
  <c r="E64" i="12" s="1"/>
  <c r="R25" i="9"/>
  <c r="H63" i="12"/>
  <c r="H64" i="12" s="1"/>
  <c r="U25" i="9"/>
  <c r="F63" i="12"/>
  <c r="F64" i="12" s="1"/>
  <c r="S25" i="9"/>
  <c r="N63" i="12"/>
  <c r="N64" i="12" s="1"/>
  <c r="AA25" i="9"/>
  <c r="L63" i="12"/>
  <c r="L64" i="12" s="1"/>
  <c r="Y25" i="9"/>
  <c r="J63" i="12"/>
  <c r="J64" i="12" s="1"/>
  <c r="W25" i="9"/>
  <c r="O18" i="1"/>
  <c r="AA24" i="9"/>
  <c r="I18" i="1"/>
  <c r="I48" i="1" s="1"/>
  <c r="H10" i="2" s="1"/>
  <c r="U24" i="9"/>
  <c r="P14" i="1"/>
  <c r="P44" i="1" s="1"/>
  <c r="AB22" i="9"/>
  <c r="L14" i="1"/>
  <c r="L44" i="1" s="1"/>
  <c r="X22" i="9"/>
  <c r="H14" i="1"/>
  <c r="H44" i="1" s="1"/>
  <c r="T22" i="9"/>
  <c r="F14" i="1"/>
  <c r="F44" i="1" s="1"/>
  <c r="R22" i="9"/>
  <c r="P15" i="1"/>
  <c r="P45" i="1" s="1"/>
  <c r="O7" i="2" s="1"/>
  <c r="AB23" i="9"/>
  <c r="N15" i="1"/>
  <c r="N45" i="1" s="1"/>
  <c r="M7" i="2" s="1"/>
  <c r="Z23" i="9"/>
  <c r="L15" i="1"/>
  <c r="L45" i="1" s="1"/>
  <c r="K7" i="2" s="1"/>
  <c r="X23" i="9"/>
  <c r="J15" i="1"/>
  <c r="J45" i="1" s="1"/>
  <c r="I7" i="2" s="1"/>
  <c r="V23" i="9"/>
  <c r="H15" i="1"/>
  <c r="H45" i="1" s="1"/>
  <c r="G7" i="2" s="1"/>
  <c r="T23" i="9"/>
  <c r="D63" i="12"/>
  <c r="Q25" i="9"/>
  <c r="P18" i="1"/>
  <c r="P48" i="1" s="1"/>
  <c r="O10" i="2" s="1"/>
  <c r="AB24" i="9"/>
  <c r="N18" i="1"/>
  <c r="N48" i="1" s="1"/>
  <c r="M10" i="2" s="1"/>
  <c r="Z24" i="9"/>
  <c r="L18" i="1"/>
  <c r="L48" i="1" s="1"/>
  <c r="K10" i="2" s="1"/>
  <c r="X24" i="9"/>
  <c r="J18" i="1"/>
  <c r="J48" i="1" s="1"/>
  <c r="I10" i="2" s="1"/>
  <c r="V24" i="9"/>
  <c r="H18" i="1"/>
  <c r="H48" i="1" s="1"/>
  <c r="G10" i="2" s="1"/>
  <c r="T24" i="9"/>
  <c r="F18" i="1"/>
  <c r="F48" i="1" s="1"/>
  <c r="R24" i="9"/>
  <c r="O14" i="1"/>
  <c r="O44" i="1" s="1"/>
  <c r="N6" i="2" s="1"/>
  <c r="AA22" i="9"/>
  <c r="M14" i="1"/>
  <c r="M44" i="1" s="1"/>
  <c r="L6" i="2" s="1"/>
  <c r="Y22" i="9"/>
  <c r="K14" i="1"/>
  <c r="K44" i="1" s="1"/>
  <c r="J6" i="2" s="1"/>
  <c r="W22" i="9"/>
  <c r="I14" i="1"/>
  <c r="I44" i="1" s="1"/>
  <c r="H6" i="2" s="1"/>
  <c r="U22" i="9"/>
  <c r="G14" i="1"/>
  <c r="G44" i="1" s="1"/>
  <c r="F6" i="2" s="1"/>
  <c r="S22" i="9"/>
  <c r="E14" i="1"/>
  <c r="Q22" i="9"/>
  <c r="O15" i="1"/>
  <c r="O45" i="1" s="1"/>
  <c r="N7" i="2" s="1"/>
  <c r="AA23" i="9"/>
  <c r="M15" i="1"/>
  <c r="M45" i="1" s="1"/>
  <c r="L7" i="2" s="1"/>
  <c r="Y23" i="9"/>
  <c r="K15" i="1"/>
  <c r="K45" i="1" s="1"/>
  <c r="J7" i="2" s="1"/>
  <c r="W23" i="9"/>
  <c r="I15" i="1"/>
  <c r="I45" i="1" s="1"/>
  <c r="H7" i="2" s="1"/>
  <c r="U23" i="9"/>
  <c r="G15" i="1"/>
  <c r="G45" i="1" s="1"/>
  <c r="F7" i="2" s="1"/>
  <c r="S23" i="9"/>
  <c r="E15" i="1"/>
  <c r="Q23" i="9"/>
  <c r="E25" i="12"/>
  <c r="F25" i="12" s="1"/>
  <c r="G25" i="12" s="1"/>
  <c r="H25" i="12" s="1"/>
  <c r="I25" i="12" s="1"/>
  <c r="J25" i="12" s="1"/>
  <c r="K25" i="12" s="1"/>
  <c r="L25" i="12" s="1"/>
  <c r="M25" i="12" s="1"/>
  <c r="N25" i="12" s="1"/>
  <c r="D44" i="12"/>
  <c r="U11" i="18"/>
  <c r="V11" i="18" s="1"/>
  <c r="W11" i="18" s="1"/>
  <c r="X11" i="18" s="1"/>
  <c r="Y11" i="18" s="1"/>
  <c r="Z11" i="18" s="1"/>
  <c r="AA11" i="18" s="1"/>
  <c r="AB11" i="18" s="1"/>
  <c r="AC11" i="18" s="1"/>
  <c r="AD11" i="18" s="1"/>
  <c r="AE11" i="18" s="1"/>
  <c r="T12" i="18"/>
  <c r="T13" i="18" s="1"/>
  <c r="U5" i="18"/>
  <c r="T6" i="18"/>
  <c r="T7" i="18" s="1"/>
  <c r="X17" i="18"/>
  <c r="Y17" i="18" s="1"/>
  <c r="Z17" i="18" s="1"/>
  <c r="AA17" i="18" s="1"/>
  <c r="AB17" i="18" s="1"/>
  <c r="AC17" i="18" s="1"/>
  <c r="AD17" i="18" s="1"/>
  <c r="W18" i="18"/>
  <c r="Z18" i="18"/>
  <c r="Y18" i="18"/>
  <c r="X18" i="18"/>
  <c r="AC12" i="18"/>
  <c r="AB12" i="18"/>
  <c r="AA12" i="18"/>
  <c r="Z12" i="18"/>
  <c r="Y12" i="18"/>
  <c r="X12" i="18"/>
  <c r="W12" i="18"/>
  <c r="V12" i="18"/>
  <c r="U12" i="18"/>
  <c r="AE12" i="18"/>
  <c r="P26" i="27"/>
  <c r="P43" i="27" s="1"/>
  <c r="D21" i="13"/>
  <c r="D43" i="27"/>
  <c r="R26" i="27"/>
  <c r="R43" i="27" s="1"/>
  <c r="F21" i="13"/>
  <c r="F43" i="27"/>
  <c r="H21" i="13"/>
  <c r="T26" i="27"/>
  <c r="T43" i="27" s="1"/>
  <c r="H43" i="27"/>
  <c r="V26" i="27"/>
  <c r="V43" i="27" s="1"/>
  <c r="J21" i="13"/>
  <c r="J43" i="27"/>
  <c r="X26" i="27"/>
  <c r="X43" i="27" s="1"/>
  <c r="L21" i="13"/>
  <c r="L43" i="27"/>
  <c r="Z26" i="27"/>
  <c r="Z43" i="27" s="1"/>
  <c r="N21" i="13"/>
  <c r="N43" i="27"/>
  <c r="AC18" i="18"/>
  <c r="AB18" i="18"/>
  <c r="AA18" i="18"/>
  <c r="V18" i="18"/>
  <c r="U18" i="18"/>
  <c r="T18" i="18"/>
  <c r="T19" i="18" s="1"/>
  <c r="AD12" i="18"/>
  <c r="O26" i="27"/>
  <c r="O43" i="27" s="1"/>
  <c r="C21" i="13"/>
  <c r="C43" i="27"/>
  <c r="Q26" i="27"/>
  <c r="Q43" i="27" s="1"/>
  <c r="E21" i="13"/>
  <c r="E43" i="27"/>
  <c r="S26" i="27"/>
  <c r="S43" i="27" s="1"/>
  <c r="G21" i="13"/>
  <c r="G43" i="27"/>
  <c r="U26" i="27"/>
  <c r="U43" i="27" s="1"/>
  <c r="I21" i="13"/>
  <c r="I43" i="27"/>
  <c r="W26" i="27"/>
  <c r="W43" i="27" s="1"/>
  <c r="K21" i="13"/>
  <c r="K43" i="27"/>
  <c r="Y26" i="27"/>
  <c r="Y43" i="27" s="1"/>
  <c r="M21" i="13"/>
  <c r="M43" i="27"/>
  <c r="Q24" i="21"/>
  <c r="N34" i="13"/>
  <c r="N31" i="13"/>
  <c r="N22" i="13" s="1"/>
  <c r="L34" i="13"/>
  <c r="L31" i="13"/>
  <c r="L22" i="13" s="1"/>
  <c r="J34" i="13"/>
  <c r="J31" i="13"/>
  <c r="J22" i="13" s="1"/>
  <c r="G31" i="13"/>
  <c r="G22" i="13" s="1"/>
  <c r="G34" i="13"/>
  <c r="C33" i="13"/>
  <c r="E60" i="1" s="1"/>
  <c r="E31" i="13"/>
  <c r="E22" i="13" s="1"/>
  <c r="C31" i="13"/>
  <c r="C22" i="13" s="1"/>
  <c r="D31" i="13"/>
  <c r="D22" i="13" s="1"/>
  <c r="E34" i="13"/>
  <c r="M31" i="13"/>
  <c r="M22" i="13" s="1"/>
  <c r="M34" i="13"/>
  <c r="K31" i="13"/>
  <c r="K22" i="13" s="1"/>
  <c r="K34" i="13"/>
  <c r="I31" i="13"/>
  <c r="I22" i="13" s="1"/>
  <c r="I34" i="13"/>
  <c r="H34" i="13"/>
  <c r="H31" i="13"/>
  <c r="H22" i="13" s="1"/>
  <c r="F34" i="13"/>
  <c r="F31" i="13"/>
  <c r="F22" i="13" s="1"/>
  <c r="A13" i="23"/>
  <c r="U7" i="14"/>
  <c r="U5" i="14" s="1"/>
  <c r="G36" i="14"/>
  <c r="G37" i="14"/>
  <c r="I36" i="14"/>
  <c r="I37" i="14"/>
  <c r="K36" i="14"/>
  <c r="K37" i="14"/>
  <c r="M36" i="14"/>
  <c r="M37" i="14"/>
  <c r="O36" i="14"/>
  <c r="O37" i="14"/>
  <c r="Q36" i="14"/>
  <c r="Q37" i="14"/>
  <c r="H37" i="14"/>
  <c r="H36" i="14"/>
  <c r="J37" i="14"/>
  <c r="J36" i="14"/>
  <c r="L37" i="14"/>
  <c r="L36" i="14"/>
  <c r="N37" i="14"/>
  <c r="N36" i="14"/>
  <c r="P37" i="14"/>
  <c r="P36" i="14"/>
  <c r="J8" i="14"/>
  <c r="K8" i="14" s="1"/>
  <c r="L8" i="14" s="1"/>
  <c r="M8" i="14" s="1"/>
  <c r="N8" i="14" s="1"/>
  <c r="M39" i="14"/>
  <c r="N39" i="14" s="1"/>
  <c r="O39" i="14" s="1"/>
  <c r="P39" i="14" s="1"/>
  <c r="Q39" i="14" s="1"/>
  <c r="L43" i="14"/>
  <c r="M43" i="14" s="1"/>
  <c r="N43" i="14" s="1"/>
  <c r="O43" i="14" s="1"/>
  <c r="P43" i="14" s="1"/>
  <c r="Q43" i="14" s="1"/>
  <c r="I38" i="14"/>
  <c r="J38" i="14" s="1"/>
  <c r="K38" i="14" s="1"/>
  <c r="L38" i="14" s="1"/>
  <c r="M38" i="14" s="1"/>
  <c r="N38" i="14" s="1"/>
  <c r="O38" i="14" s="1"/>
  <c r="P38" i="14" s="1"/>
  <c r="Q38" i="14" s="1"/>
  <c r="N44" i="12"/>
  <c r="N46" i="12" s="1"/>
  <c r="E44" i="12"/>
  <c r="E46" i="12" s="1"/>
  <c r="F44" i="12"/>
  <c r="F46" i="12" s="1"/>
  <c r="G44" i="12"/>
  <c r="G46" i="12" s="1"/>
  <c r="H44" i="12"/>
  <c r="H46" i="12" s="1"/>
  <c r="I44" i="12"/>
  <c r="I46" i="12" s="1"/>
  <c r="J44" i="12"/>
  <c r="J46" i="12" s="1"/>
  <c r="K44" i="12"/>
  <c r="K46" i="12" s="1"/>
  <c r="L44" i="12"/>
  <c r="L46" i="12" s="1"/>
  <c r="M44" i="12"/>
  <c r="M46" i="12" s="1"/>
  <c r="K31" i="12"/>
  <c r="L31" i="12" s="1"/>
  <c r="J33" i="12"/>
  <c r="J35" i="12" s="1"/>
  <c r="E33" i="12"/>
  <c r="E35" i="12" s="1"/>
  <c r="F33" i="12"/>
  <c r="F35" i="12" s="1"/>
  <c r="G33" i="12"/>
  <c r="G35" i="12" s="1"/>
  <c r="H33" i="12"/>
  <c r="H35" i="12" s="1"/>
  <c r="I33" i="12"/>
  <c r="I35" i="12" s="1"/>
  <c r="K33" i="12"/>
  <c r="K35" i="12" s="1"/>
  <c r="A8" i="25"/>
  <c r="A31" i="18"/>
  <c r="B20" i="14"/>
  <c r="C18" i="13"/>
  <c r="C20" i="13" s="1"/>
  <c r="X19" i="13"/>
  <c r="X20" i="13" s="1"/>
  <c r="F22" i="14"/>
  <c r="R15" i="23"/>
  <c r="A14" i="23"/>
  <c r="P10" i="13"/>
  <c r="P12" i="13" s="1"/>
  <c r="L41" i="14"/>
  <c r="M41" i="14" s="1"/>
  <c r="N41" i="14" s="1"/>
  <c r="O41" i="14" s="1"/>
  <c r="P41" i="14" s="1"/>
  <c r="Q41" i="14" s="1"/>
  <c r="J40" i="14"/>
  <c r="K40" i="14" s="1"/>
  <c r="L40" i="14" s="1"/>
  <c r="M40" i="14" s="1"/>
  <c r="N40" i="14" s="1"/>
  <c r="O40" i="14" s="1"/>
  <c r="P40" i="14" s="1"/>
  <c r="Q40" i="14" s="1"/>
  <c r="L42" i="14"/>
  <c r="M42" i="14" s="1"/>
  <c r="B50" i="14"/>
  <c r="V12" i="16"/>
  <c r="T27" i="24"/>
  <c r="J12" i="16"/>
  <c r="E15" i="16" s="1"/>
  <c r="D12" i="16"/>
  <c r="K27" i="24"/>
  <c r="M27" i="24"/>
  <c r="O27" i="24"/>
  <c r="Q27" i="24"/>
  <c r="AO18" i="16"/>
  <c r="AO31" i="16" s="1"/>
  <c r="AN31" i="16"/>
  <c r="S27" i="24"/>
  <c r="U27" i="24"/>
  <c r="L23" i="24"/>
  <c r="O23" i="24"/>
  <c r="S23" i="24"/>
  <c r="T23" i="24"/>
  <c r="V27" i="24"/>
  <c r="K23" i="24"/>
  <c r="M23" i="24"/>
  <c r="Q23" i="24"/>
  <c r="U23" i="24"/>
  <c r="P12" i="16"/>
  <c r="Z25" i="13"/>
  <c r="Z30" i="13" s="1"/>
  <c r="Y17" i="13"/>
  <c r="C48" i="12"/>
  <c r="C37" i="12"/>
  <c r="U19" i="18"/>
  <c r="V19" i="18" s="1"/>
  <c r="W19" i="18" s="1"/>
  <c r="X19" i="18" s="1"/>
  <c r="Y19" i="18" s="1"/>
  <c r="Z19" i="18" s="1"/>
  <c r="AA19" i="18" s="1"/>
  <c r="AB19" i="18" s="1"/>
  <c r="AC19" i="18" s="1"/>
  <c r="U13" i="18"/>
  <c r="V13" i="18" s="1"/>
  <c r="W13" i="18" s="1"/>
  <c r="X13" i="18" s="1"/>
  <c r="Y13" i="18" s="1"/>
  <c r="Z13" i="18" s="1"/>
  <c r="AA13" i="18" s="1"/>
  <c r="AB13" i="18" s="1"/>
  <c r="AC13" i="18" s="1"/>
  <c r="AD13" i="18" s="1"/>
  <c r="AE13" i="18" s="1"/>
  <c r="E59" i="1"/>
  <c r="J28" i="13"/>
  <c r="K28" i="13" s="1"/>
  <c r="L28" i="13" s="1"/>
  <c r="M28" i="13" s="1"/>
  <c r="N28" i="13" s="1"/>
  <c r="W20" i="13"/>
  <c r="S6" i="9"/>
  <c r="AA6" i="9"/>
  <c r="X61" i="12"/>
  <c r="AB61" i="12"/>
  <c r="E2" i="20"/>
  <c r="G2" i="20"/>
  <c r="M2" i="20"/>
  <c r="Q101" i="1"/>
  <c r="E22" i="12"/>
  <c r="E24" i="12" s="1"/>
  <c r="F20" i="12"/>
  <c r="C26" i="12"/>
  <c r="D23" i="12"/>
  <c r="D26" i="12" s="1"/>
  <c r="E57" i="12"/>
  <c r="D116" i="12"/>
  <c r="D107" i="12"/>
  <c r="E107" i="12" s="1"/>
  <c r="F107" i="12" s="1"/>
  <c r="G107" i="12" s="1"/>
  <c r="H107" i="12" s="1"/>
  <c r="I107" i="12" s="1"/>
  <c r="J107" i="12" s="1"/>
  <c r="K107" i="12" s="1"/>
  <c r="L107" i="12" s="1"/>
  <c r="M107" i="12" s="1"/>
  <c r="N107" i="12" s="1"/>
  <c r="O107" i="12" s="1"/>
  <c r="B13" i="14"/>
  <c r="E11" i="12"/>
  <c r="E13" i="12" s="1"/>
  <c r="F11" i="12"/>
  <c r="F13" i="12" s="1"/>
  <c r="G9" i="12"/>
  <c r="C15" i="12"/>
  <c r="L22" i="14"/>
  <c r="I22" i="14"/>
  <c r="A6" i="25"/>
  <c r="A29" i="18"/>
  <c r="I44" i="21"/>
  <c r="H11" i="2" s="1"/>
  <c r="AH27" i="21"/>
  <c r="G71" i="12"/>
  <c r="W61" i="12"/>
  <c r="I71" i="12"/>
  <c r="Y61" i="12"/>
  <c r="K71" i="12"/>
  <c r="AA61" i="12"/>
  <c r="M71" i="12"/>
  <c r="AC61" i="12"/>
  <c r="O71" i="12"/>
  <c r="AE61" i="12"/>
  <c r="M15" i="24"/>
  <c r="M15" i="16"/>
  <c r="AF15" i="16" s="1"/>
  <c r="AF22" i="16" s="1"/>
  <c r="O15" i="24"/>
  <c r="O15" i="16"/>
  <c r="AH15" i="16" s="1"/>
  <c r="AH22" i="16" s="1"/>
  <c r="Q15" i="24"/>
  <c r="Q15" i="16"/>
  <c r="AJ15" i="16" s="1"/>
  <c r="AJ22" i="16" s="1"/>
  <c r="S15" i="24"/>
  <c r="S15" i="16"/>
  <c r="AL15" i="16" s="1"/>
  <c r="AL22" i="16" s="1"/>
  <c r="U15" i="24"/>
  <c r="U15" i="16"/>
  <c r="AN15" i="16" s="1"/>
  <c r="AN22" i="16" s="1"/>
  <c r="L54" i="21"/>
  <c r="D57" i="22"/>
  <c r="E57" i="22" s="1"/>
  <c r="F57" i="22" s="1"/>
  <c r="G57" i="22" s="1"/>
  <c r="H57" i="22" s="1"/>
  <c r="I57" i="22" s="1"/>
  <c r="J57" i="22" s="1"/>
  <c r="K57" i="22" s="1"/>
  <c r="L57" i="22" s="1"/>
  <c r="M57" i="22" s="1"/>
  <c r="N57" i="22" s="1"/>
  <c r="F66" i="12"/>
  <c r="E67" i="12"/>
  <c r="D67" i="12"/>
  <c r="A12" i="23"/>
  <c r="A7" i="25"/>
  <c r="A30" i="18"/>
  <c r="A26" i="18"/>
  <c r="E44" i="21"/>
  <c r="E46" i="21"/>
  <c r="D13" i="2" s="1"/>
  <c r="F46" i="21"/>
  <c r="E13" i="2" s="1"/>
  <c r="E48" i="21"/>
  <c r="F48" i="21"/>
  <c r="E15" i="2" s="1"/>
  <c r="P46" i="21"/>
  <c r="O13" i="2" s="1"/>
  <c r="P45" i="21"/>
  <c r="O12" i="2" s="1"/>
  <c r="N48" i="21"/>
  <c r="M15" i="2" s="1"/>
  <c r="N47" i="21"/>
  <c r="M14" i="2" s="1"/>
  <c r="N44" i="21"/>
  <c r="M11" i="2" s="1"/>
  <c r="M48" i="21"/>
  <c r="L15" i="2" s="1"/>
  <c r="M46" i="21"/>
  <c r="L13" i="2" s="1"/>
  <c r="L46" i="21"/>
  <c r="K13" i="2" s="1"/>
  <c r="J47" i="21"/>
  <c r="I14" i="2" s="1"/>
  <c r="J44" i="21"/>
  <c r="I11" i="2" s="1"/>
  <c r="I46" i="21"/>
  <c r="H13" i="2" s="1"/>
  <c r="H46" i="21"/>
  <c r="G13" i="2" s="1"/>
  <c r="A28" i="18"/>
  <c r="Y25" i="21"/>
  <c r="Q25" i="21"/>
  <c r="P48" i="21"/>
  <c r="O15" i="2" s="1"/>
  <c r="P47" i="21"/>
  <c r="P44" i="21"/>
  <c r="O11" i="2" s="1"/>
  <c r="O48" i="21"/>
  <c r="N15" i="2" s="1"/>
  <c r="O46" i="21"/>
  <c r="N13" i="2" s="1"/>
  <c r="N46" i="21"/>
  <c r="M13" i="2" s="1"/>
  <c r="L48" i="21"/>
  <c r="K15" i="2" s="1"/>
  <c r="L44" i="21"/>
  <c r="K11" i="2" s="1"/>
  <c r="K48" i="21"/>
  <c r="J15" i="2" s="1"/>
  <c r="K47" i="21"/>
  <c r="J14" i="2" s="1"/>
  <c r="K46" i="21"/>
  <c r="J13" i="2" s="1"/>
  <c r="K44" i="21"/>
  <c r="J11" i="2" s="1"/>
  <c r="J48" i="21"/>
  <c r="I15" i="2" s="1"/>
  <c r="I48" i="21"/>
  <c r="H15" i="2" s="1"/>
  <c r="H48" i="21"/>
  <c r="G15" i="2" s="1"/>
  <c r="H47" i="21"/>
  <c r="G14" i="2" s="1"/>
  <c r="H44" i="21"/>
  <c r="G11" i="2" s="1"/>
  <c r="AJ27" i="1"/>
  <c r="AK27" i="1" s="1"/>
  <c r="AJ29" i="1"/>
  <c r="AK29" i="1" s="1"/>
  <c r="O45" i="21"/>
  <c r="N12" i="2" s="1"/>
  <c r="M45" i="21"/>
  <c r="L12" i="2" s="1"/>
  <c r="M44" i="21"/>
  <c r="L11" i="2" s="1"/>
  <c r="AJ25" i="1"/>
  <c r="AK25" i="1" s="1"/>
  <c r="AF25" i="21"/>
  <c r="AB25" i="21"/>
  <c r="AF27" i="21"/>
  <c r="AJ27" i="21" s="1"/>
  <c r="AK27" i="21" s="1"/>
  <c r="F44" i="21"/>
  <c r="E11" i="2" s="1"/>
  <c r="F57" i="12"/>
  <c r="Q102" i="1"/>
  <c r="Q28" i="14"/>
  <c r="E3" i="14"/>
  <c r="E58" i="14" s="1"/>
  <c r="M28" i="14"/>
  <c r="E35" i="13"/>
  <c r="F59" i="1"/>
  <c r="B12" i="14"/>
  <c r="C39" i="13"/>
  <c r="E58" i="1"/>
  <c r="F51" i="22"/>
  <c r="G61" i="22" s="1"/>
  <c r="F29" i="22"/>
  <c r="F40" i="22" s="1"/>
  <c r="K71" i="22"/>
  <c r="K81" i="22" s="1"/>
  <c r="AA61" i="22"/>
  <c r="N51" i="22"/>
  <c r="O61" i="22" s="1"/>
  <c r="N29" i="22"/>
  <c r="N40" i="22" s="1"/>
  <c r="H51" i="22"/>
  <c r="I61" i="22" s="1"/>
  <c r="H29" i="22"/>
  <c r="H40" i="22" s="1"/>
  <c r="L51" i="22"/>
  <c r="M61" i="22" s="1"/>
  <c r="L29" i="22"/>
  <c r="L40" i="22" s="1"/>
  <c r="H54" i="21"/>
  <c r="P54" i="21"/>
  <c r="I2" i="18"/>
  <c r="Y2" i="18" s="1"/>
  <c r="M2" i="18"/>
  <c r="AC2" i="18" s="1"/>
  <c r="D51" i="12"/>
  <c r="E61" i="12" s="1"/>
  <c r="E71" i="12" s="1"/>
  <c r="D29" i="12"/>
  <c r="D40" i="12" s="1"/>
  <c r="R6" i="9"/>
  <c r="F54" i="1"/>
  <c r="E2" i="18"/>
  <c r="U2" i="18" s="1"/>
  <c r="E10" i="13"/>
  <c r="F3" i="13" s="1"/>
  <c r="F10" i="13" s="1"/>
  <c r="G3" i="13" s="1"/>
  <c r="G10" i="13" s="1"/>
  <c r="H3" i="13" s="1"/>
  <c r="H10" i="13" s="1"/>
  <c r="I3" i="13" s="1"/>
  <c r="D18" i="13"/>
  <c r="D20" i="13" s="1"/>
  <c r="E37" i="13"/>
  <c r="F58" i="1"/>
  <c r="E56" i="1"/>
  <c r="D12" i="13"/>
  <c r="C16" i="13"/>
  <c r="O28" i="14"/>
  <c r="K18" i="1"/>
  <c r="K48" i="1" s="1"/>
  <c r="J10" i="2" s="1"/>
  <c r="J14" i="1"/>
  <c r="J44" i="1" s="1"/>
  <c r="J51" i="1" s="1"/>
  <c r="K91" i="22"/>
  <c r="AA81" i="22"/>
  <c r="I71" i="22"/>
  <c r="Y61" i="22"/>
  <c r="H2" i="23"/>
  <c r="X2" i="23" s="1"/>
  <c r="G6" i="19"/>
  <c r="H3" i="25"/>
  <c r="L2" i="23"/>
  <c r="AB2" i="23" s="1"/>
  <c r="K6" i="19"/>
  <c r="L3" i="25"/>
  <c r="U6" i="9"/>
  <c r="Y6" i="9"/>
  <c r="N15" i="16"/>
  <c r="AG15" i="16" s="1"/>
  <c r="AG22" i="16" s="1"/>
  <c r="P15" i="16"/>
  <c r="AI15" i="16" s="1"/>
  <c r="AI22" i="16" s="1"/>
  <c r="R15" i="16"/>
  <c r="AK15" i="16" s="1"/>
  <c r="AK22" i="16" s="1"/>
  <c r="T15" i="16"/>
  <c r="AM15" i="16" s="1"/>
  <c r="AM22" i="16" s="1"/>
  <c r="V15" i="16"/>
  <c r="AO15" i="16" s="1"/>
  <c r="AO22" i="16" s="1"/>
  <c r="AD71" i="12"/>
  <c r="AB71" i="12"/>
  <c r="Z71" i="12"/>
  <c r="X71" i="12"/>
  <c r="V71" i="12"/>
  <c r="F81" i="12"/>
  <c r="H81" i="12"/>
  <c r="J81" i="12"/>
  <c r="L81" i="12"/>
  <c r="N81" i="12"/>
  <c r="AA71" i="22"/>
  <c r="J92" i="21"/>
  <c r="J54" i="21"/>
  <c r="N92" i="21"/>
  <c r="N54" i="21"/>
  <c r="F2" i="23"/>
  <c r="V2" i="23" s="1"/>
  <c r="E6" i="19"/>
  <c r="F3" i="25"/>
  <c r="J2" i="23"/>
  <c r="Z2" i="23" s="1"/>
  <c r="I6" i="19"/>
  <c r="J3" i="25"/>
  <c r="N2" i="23"/>
  <c r="AD2" i="23" s="1"/>
  <c r="M6" i="19"/>
  <c r="N3" i="25"/>
  <c r="G92" i="21"/>
  <c r="G54" i="21"/>
  <c r="I92" i="21"/>
  <c r="I54" i="21"/>
  <c r="K92" i="21"/>
  <c r="K54" i="21"/>
  <c r="M92" i="21"/>
  <c r="M54" i="21"/>
  <c r="O92" i="21"/>
  <c r="O54" i="21"/>
  <c r="D51" i="22"/>
  <c r="E61" i="22" s="1"/>
  <c r="D29" i="22"/>
  <c r="D40" i="22" s="1"/>
  <c r="U61" i="12"/>
  <c r="F54" i="21"/>
  <c r="D71" i="12"/>
  <c r="T61" i="12"/>
  <c r="Q6" i="9"/>
  <c r="C2" i="13"/>
  <c r="C25" i="27" s="1"/>
  <c r="O25" i="27" s="1"/>
  <c r="C29" i="12"/>
  <c r="C40" i="12" s="1"/>
  <c r="C2" i="20"/>
  <c r="C6" i="19"/>
  <c r="D3" i="25"/>
  <c r="D2" i="18"/>
  <c r="T2" i="18" s="1"/>
  <c r="D34" i="20"/>
  <c r="D32" i="20"/>
  <c r="D7" i="23"/>
  <c r="D12" i="20"/>
  <c r="C16" i="20"/>
  <c r="D18" i="20"/>
  <c r="E3" i="20"/>
  <c r="F60" i="21"/>
  <c r="E30" i="20"/>
  <c r="D5" i="23"/>
  <c r="AE94" i="22"/>
  <c r="AD94" i="22"/>
  <c r="AC94" i="22"/>
  <c r="AB94" i="22"/>
  <c r="AA94" i="22"/>
  <c r="Z94" i="22"/>
  <c r="Y94" i="22"/>
  <c r="X94" i="22"/>
  <c r="W94" i="22"/>
  <c r="V94" i="22"/>
  <c r="U94" i="22"/>
  <c r="T94" i="22"/>
  <c r="P15" i="23"/>
  <c r="D69" i="22"/>
  <c r="A64" i="22"/>
  <c r="P16" i="23"/>
  <c r="D79" i="22"/>
  <c r="A74" i="22"/>
  <c r="P17" i="23"/>
  <c r="D89" i="22"/>
  <c r="A84" i="22"/>
  <c r="P18" i="23"/>
  <c r="D98" i="22"/>
  <c r="A94" i="22"/>
  <c r="P19" i="23"/>
  <c r="D107" i="22"/>
  <c r="A103" i="22"/>
  <c r="AE112" i="22"/>
  <c r="AD112" i="22"/>
  <c r="AC112" i="22"/>
  <c r="AB112" i="22"/>
  <c r="AA112" i="22"/>
  <c r="Z112" i="22"/>
  <c r="Y112" i="22"/>
  <c r="X112" i="22"/>
  <c r="W112" i="22"/>
  <c r="V112" i="22"/>
  <c r="U112" i="22"/>
  <c r="T112" i="22"/>
  <c r="AE84" i="22"/>
  <c r="AD84" i="22"/>
  <c r="AC84" i="22"/>
  <c r="AB84" i="22"/>
  <c r="AA84" i="22"/>
  <c r="U84" i="22"/>
  <c r="T84" i="22"/>
  <c r="Z84" i="22"/>
  <c r="Y84" i="22"/>
  <c r="X84" i="22"/>
  <c r="W84" i="22"/>
  <c r="V84" i="22"/>
  <c r="S24" i="19"/>
  <c r="S101" i="22"/>
  <c r="S104" i="22" s="1"/>
  <c r="S62" i="22"/>
  <c r="S65" i="22" s="1"/>
  <c r="S72" i="22"/>
  <c r="S75" i="22" s="1"/>
  <c r="V18" i="24"/>
  <c r="V19" i="24" s="1"/>
  <c r="V22" i="24"/>
  <c r="V23" i="24" s="1"/>
  <c r="P21" i="21"/>
  <c r="L17" i="21"/>
  <c r="X23" i="19"/>
  <c r="R18" i="24" s="1"/>
  <c r="R19" i="24" s="1"/>
  <c r="K51" i="21"/>
  <c r="H15" i="21"/>
  <c r="T22" i="19"/>
  <c r="J16" i="21"/>
  <c r="V22" i="19"/>
  <c r="E116" i="22"/>
  <c r="F116" i="22" s="1"/>
  <c r="G116" i="22" s="1"/>
  <c r="H116" i="22" s="1"/>
  <c r="I116" i="22" s="1"/>
  <c r="J116" i="22" s="1"/>
  <c r="K116" i="22" s="1"/>
  <c r="L116" i="22" s="1"/>
  <c r="M116" i="22" s="1"/>
  <c r="N116" i="22" s="1"/>
  <c r="O116" i="22" s="1"/>
  <c r="P51" i="21"/>
  <c r="O14" i="2"/>
  <c r="O44" i="21"/>
  <c r="O21" i="21"/>
  <c r="N45" i="21"/>
  <c r="N21" i="21"/>
  <c r="G51" i="21"/>
  <c r="AC8" i="19"/>
  <c r="B16" i="24" s="1"/>
  <c r="AC10" i="19"/>
  <c r="B18" i="24" s="1"/>
  <c r="F18" i="24" s="1"/>
  <c r="L45" i="21"/>
  <c r="L21" i="21"/>
  <c r="J45" i="21"/>
  <c r="J21" i="21"/>
  <c r="I45" i="21"/>
  <c r="H12" i="2" s="1"/>
  <c r="I21" i="21"/>
  <c r="AC18" i="19"/>
  <c r="B20" i="24" s="1"/>
  <c r="F20" i="24" s="1"/>
  <c r="P28" i="14"/>
  <c r="N28" i="14"/>
  <c r="Q15" i="21"/>
  <c r="Q17" i="21"/>
  <c r="Q18" i="21"/>
  <c r="Q14" i="21"/>
  <c r="G28" i="14"/>
  <c r="I28" i="14"/>
  <c r="K28" i="14"/>
  <c r="K32" i="24"/>
  <c r="K33" i="24" s="1"/>
  <c r="H28" i="14"/>
  <c r="J28" i="14"/>
  <c r="X19" i="9"/>
  <c r="T19" i="9"/>
  <c r="AC15" i="9"/>
  <c r="Z19" i="9"/>
  <c r="Y19" i="9"/>
  <c r="W19" i="9"/>
  <c r="AB19" i="9"/>
  <c r="V19" i="9"/>
  <c r="Q19" i="9"/>
  <c r="AC16" i="9"/>
  <c r="N17" i="1"/>
  <c r="N47" i="1" s="1"/>
  <c r="M9" i="2" s="1"/>
  <c r="F17" i="1"/>
  <c r="F47" i="1" s="1"/>
  <c r="F51" i="1" s="1"/>
  <c r="A84" i="12"/>
  <c r="D89" i="12"/>
  <c r="E89" i="12" s="1"/>
  <c r="F89" i="12" s="1"/>
  <c r="G89" i="12" s="1"/>
  <c r="H89" i="12" s="1"/>
  <c r="I89" i="12" s="1"/>
  <c r="J89" i="12" s="1"/>
  <c r="K89" i="12" s="1"/>
  <c r="L89" i="12" s="1"/>
  <c r="M89" i="12" s="1"/>
  <c r="N89" i="12" s="1"/>
  <c r="O89" i="12" s="1"/>
  <c r="P18" i="18"/>
  <c r="U19" i="9"/>
  <c r="S19" i="9"/>
  <c r="AC13" i="9"/>
  <c r="N14" i="1"/>
  <c r="N44" i="1" s="1"/>
  <c r="M6" i="2" s="1"/>
  <c r="A74" i="12"/>
  <c r="O48" i="1"/>
  <c r="N10" i="2" s="1"/>
  <c r="O21" i="1"/>
  <c r="AA19" i="9"/>
  <c r="R19" i="9"/>
  <c r="AC14" i="9"/>
  <c r="AC12" i="9"/>
  <c r="M18" i="1"/>
  <c r="M48" i="1" s="1"/>
  <c r="L10" i="2" s="1"/>
  <c r="G18" i="1"/>
  <c r="E18" i="1"/>
  <c r="E48" i="1" s="1"/>
  <c r="D10" i="2" s="1"/>
  <c r="E46" i="1"/>
  <c r="D8" i="2" s="1"/>
  <c r="Q16" i="1"/>
  <c r="E44" i="1"/>
  <c r="D6" i="2" s="1"/>
  <c r="F93" i="12"/>
  <c r="F94" i="12" s="1"/>
  <c r="N93" i="12"/>
  <c r="N94" i="12" s="1"/>
  <c r="J93" i="12"/>
  <c r="J94" i="12" s="1"/>
  <c r="I21" i="1"/>
  <c r="E45" i="1"/>
  <c r="D7" i="2" s="1"/>
  <c r="Q15" i="1"/>
  <c r="D79" i="12"/>
  <c r="E79" i="12" s="1"/>
  <c r="F79" i="12" s="1"/>
  <c r="G79" i="12" s="1"/>
  <c r="H79" i="12" s="1"/>
  <c r="I79" i="12" s="1"/>
  <c r="J79" i="12" s="1"/>
  <c r="K79" i="12" s="1"/>
  <c r="L79" i="12" s="1"/>
  <c r="M79" i="12" s="1"/>
  <c r="N79" i="12" s="1"/>
  <c r="O79" i="12" s="1"/>
  <c r="P17" i="18"/>
  <c r="G63" i="12"/>
  <c r="G64" i="12" s="1"/>
  <c r="O63" i="12"/>
  <c r="O64" i="12" s="1"/>
  <c r="M63" i="12"/>
  <c r="M64" i="12" s="1"/>
  <c r="K63" i="12"/>
  <c r="K64" i="12" s="1"/>
  <c r="I63" i="12"/>
  <c r="I64" i="12" s="1"/>
  <c r="S101" i="12"/>
  <c r="S104" i="12" s="1"/>
  <c r="V103" i="12" s="1"/>
  <c r="A103" i="12"/>
  <c r="I51" i="1"/>
  <c r="AC7" i="9"/>
  <c r="F15" i="16" s="1"/>
  <c r="AC18" i="9"/>
  <c r="P20" i="18"/>
  <c r="D94" i="12"/>
  <c r="E111" i="12"/>
  <c r="E112" i="12" s="1"/>
  <c r="AC17" i="9"/>
  <c r="D64" i="12"/>
  <c r="Q33" i="16"/>
  <c r="L28" i="14" s="1"/>
  <c r="O6" i="2"/>
  <c r="P51" i="1"/>
  <c r="K6" i="2"/>
  <c r="L51" i="1"/>
  <c r="I6" i="2"/>
  <c r="H51" i="1"/>
  <c r="G6" i="2"/>
  <c r="E10" i="2"/>
  <c r="E8" i="2"/>
  <c r="E6" i="2"/>
  <c r="E7" i="2"/>
  <c r="P21" i="1"/>
  <c r="L21" i="1"/>
  <c r="H21" i="1"/>
  <c r="S82" i="12"/>
  <c r="S85" i="12" s="1"/>
  <c r="S72" i="12"/>
  <c r="S75" i="12" s="1"/>
  <c r="AC11" i="9"/>
  <c r="AC10" i="9"/>
  <c r="AC9" i="9"/>
  <c r="AC8" i="9"/>
  <c r="G57" i="12"/>
  <c r="H57" i="12" s="1"/>
  <c r="I57" i="12" s="1"/>
  <c r="J57" i="12" s="1"/>
  <c r="K57" i="12" s="1"/>
  <c r="L57" i="12" s="1"/>
  <c r="M57" i="12" s="1"/>
  <c r="N57" i="12" s="1"/>
  <c r="O57" i="12" s="1"/>
  <c r="C22" i="18" s="1"/>
  <c r="H44" i="14" l="1"/>
  <c r="D33" i="13"/>
  <c r="D23" i="13"/>
  <c r="G5" i="14" s="1"/>
  <c r="G31" i="14" s="1"/>
  <c r="F21" i="14"/>
  <c r="O21" i="13"/>
  <c r="AD18" i="18"/>
  <c r="AD19" i="18" s="1"/>
  <c r="AE17" i="18"/>
  <c r="AE18" i="18" s="1"/>
  <c r="V5" i="18"/>
  <c r="U6" i="18"/>
  <c r="U7" i="18" s="1"/>
  <c r="O22" i="13"/>
  <c r="C23" i="13"/>
  <c r="K44" i="14"/>
  <c r="E54" i="14"/>
  <c r="E52" i="14"/>
  <c r="E59" i="14"/>
  <c r="I44" i="14"/>
  <c r="E55" i="14"/>
  <c r="E57" i="14"/>
  <c r="E56" i="14"/>
  <c r="E51" i="14"/>
  <c r="B36" i="14"/>
  <c r="E36" i="14" s="1"/>
  <c r="G44" i="14"/>
  <c r="B39" i="14"/>
  <c r="E39" i="14" s="1"/>
  <c r="B43" i="14"/>
  <c r="E43" i="14" s="1"/>
  <c r="B38" i="14"/>
  <c r="E38" i="14" s="1"/>
  <c r="L33" i="12"/>
  <c r="L35" i="12" s="1"/>
  <c r="M31" i="12"/>
  <c r="D7" i="18"/>
  <c r="F19" i="14" s="1"/>
  <c r="E19" i="16"/>
  <c r="E17" i="16"/>
  <c r="E18" i="16"/>
  <c r="F18" i="16" s="1"/>
  <c r="C27" i="13"/>
  <c r="C29" i="13" s="1"/>
  <c r="E73" i="1" s="1"/>
  <c r="F4" i="14"/>
  <c r="D27" i="18"/>
  <c r="D27" i="13"/>
  <c r="D29" i="13" s="1"/>
  <c r="E27" i="18" s="1"/>
  <c r="J44" i="14"/>
  <c r="B37" i="14"/>
  <c r="AF13" i="18"/>
  <c r="C13" i="18" s="1"/>
  <c r="K21" i="1"/>
  <c r="K42" i="1" s="1"/>
  <c r="F73" i="1"/>
  <c r="B41" i="14"/>
  <c r="E41" i="14" s="1"/>
  <c r="B40" i="14"/>
  <c r="L44" i="14"/>
  <c r="M44" i="14"/>
  <c r="N42" i="14"/>
  <c r="F19" i="16"/>
  <c r="F20" i="16"/>
  <c r="E16" i="16"/>
  <c r="F17" i="16"/>
  <c r="AA25" i="13"/>
  <c r="AA30" i="13" s="1"/>
  <c r="Z17" i="13"/>
  <c r="D34" i="12"/>
  <c r="D45" i="12"/>
  <c r="Y19" i="13"/>
  <c r="Y18" i="13"/>
  <c r="E116" i="12"/>
  <c r="F116" i="12" s="1"/>
  <c r="G116" i="12" s="1"/>
  <c r="H116" i="12" s="1"/>
  <c r="I116" i="12" s="1"/>
  <c r="J116" i="12" s="1"/>
  <c r="K116" i="12" s="1"/>
  <c r="L116" i="12" s="1"/>
  <c r="M116" i="12" s="1"/>
  <c r="N116" i="12" s="1"/>
  <c r="O116" i="12" s="1"/>
  <c r="B22" i="14"/>
  <c r="E22" i="14" s="1"/>
  <c r="E23" i="12"/>
  <c r="E26" i="12" s="1"/>
  <c r="G20" i="12"/>
  <c r="F22" i="12"/>
  <c r="F24" i="12" s="1"/>
  <c r="H9" i="12"/>
  <c r="G11" i="12"/>
  <c r="G13" i="12" s="1"/>
  <c r="D12" i="12"/>
  <c r="AJ25" i="21"/>
  <c r="AK25" i="21" s="1"/>
  <c r="V15" i="24"/>
  <c r="O81" i="12"/>
  <c r="AE71" i="12"/>
  <c r="T15" i="24"/>
  <c r="M81" i="12"/>
  <c r="AC71" i="12"/>
  <c r="R15" i="24"/>
  <c r="K81" i="12"/>
  <c r="AA71" i="12"/>
  <c r="P15" i="24"/>
  <c r="I81" i="12"/>
  <c r="Y71" i="12"/>
  <c r="N15" i="24"/>
  <c r="G81" i="12"/>
  <c r="W71" i="12"/>
  <c r="O57" i="22"/>
  <c r="C22" i="23" s="1"/>
  <c r="G66" i="12"/>
  <c r="F67" i="12"/>
  <c r="O18" i="16"/>
  <c r="Q18" i="16"/>
  <c r="K51" i="1"/>
  <c r="J4" i="18" s="1"/>
  <c r="S18" i="16"/>
  <c r="J21" i="1"/>
  <c r="J32" i="1" s="1"/>
  <c r="Q47" i="1"/>
  <c r="Q45" i="1"/>
  <c r="D93" i="2" s="1"/>
  <c r="B28" i="14"/>
  <c r="E28" i="14" s="1"/>
  <c r="M18" i="16"/>
  <c r="T18" i="16"/>
  <c r="S62" i="12"/>
  <c r="S65" i="12" s="1"/>
  <c r="AE64" i="12" s="1"/>
  <c r="E51" i="21"/>
  <c r="D11" i="2"/>
  <c r="Q48" i="21"/>
  <c r="D101" i="2" s="1"/>
  <c r="D15" i="2"/>
  <c r="N51" i="1"/>
  <c r="M4" i="18" s="1"/>
  <c r="M51" i="21"/>
  <c r="L4" i="23" s="1"/>
  <c r="F51" i="21"/>
  <c r="F35" i="13"/>
  <c r="G59" i="1"/>
  <c r="H18" i="13"/>
  <c r="E33" i="13"/>
  <c r="G60" i="1" s="1"/>
  <c r="G18" i="13"/>
  <c r="F18" i="13"/>
  <c r="F20" i="13" s="1"/>
  <c r="F23" i="13" s="1"/>
  <c r="I5" i="14" s="1"/>
  <c r="I31" i="14" s="1"/>
  <c r="AE103" i="12"/>
  <c r="M71" i="22"/>
  <c r="AC61" i="22"/>
  <c r="O71" i="22"/>
  <c r="AE61" i="22"/>
  <c r="G71" i="22"/>
  <c r="W61" i="22"/>
  <c r="E18" i="13"/>
  <c r="I10" i="13"/>
  <c r="J3" i="13" s="1"/>
  <c r="D15" i="13"/>
  <c r="E12" i="13" s="1"/>
  <c r="D5" i="18"/>
  <c r="F37" i="13"/>
  <c r="G58" i="1"/>
  <c r="E57" i="1"/>
  <c r="D6" i="18" s="1"/>
  <c r="F56" i="1"/>
  <c r="M51" i="1"/>
  <c r="L16" i="2" s="1"/>
  <c r="M21" i="1"/>
  <c r="M42" i="1" s="1"/>
  <c r="Q44" i="1"/>
  <c r="M7" i="22"/>
  <c r="M18" i="22" s="1"/>
  <c r="AA6" i="19"/>
  <c r="E7" i="22"/>
  <c r="E18" i="22" s="1"/>
  <c r="S6" i="19"/>
  <c r="N91" i="12"/>
  <c r="AD81" i="12"/>
  <c r="J91" i="12"/>
  <c r="Z81" i="12"/>
  <c r="F91" i="12"/>
  <c r="V81" i="12"/>
  <c r="G7" i="22"/>
  <c r="G18" i="22" s="1"/>
  <c r="U6" i="19"/>
  <c r="W6" i="19"/>
  <c r="I7" i="22"/>
  <c r="I18" i="22" s="1"/>
  <c r="L91" i="12"/>
  <c r="AB81" i="12"/>
  <c r="H91" i="12"/>
  <c r="X81" i="12"/>
  <c r="K7" i="22"/>
  <c r="K18" i="22" s="1"/>
  <c r="Y6" i="19"/>
  <c r="I81" i="22"/>
  <c r="Y71" i="22"/>
  <c r="AA91" i="22"/>
  <c r="K100" i="22"/>
  <c r="U71" i="12"/>
  <c r="L15" i="16"/>
  <c r="AE15" i="16" s="1"/>
  <c r="AE22" i="16" s="1"/>
  <c r="L15" i="24"/>
  <c r="E81" i="12"/>
  <c r="E71" i="22"/>
  <c r="U61" i="22"/>
  <c r="Q6" i="19"/>
  <c r="C7" i="22"/>
  <c r="C18" i="22" s="1"/>
  <c r="K15" i="16"/>
  <c r="AD15" i="16" s="1"/>
  <c r="AD22" i="16" s="1"/>
  <c r="K15" i="24"/>
  <c r="D81" i="12"/>
  <c r="T71" i="12"/>
  <c r="E34" i="20"/>
  <c r="F58" i="21"/>
  <c r="F59" i="21"/>
  <c r="E7" i="23" s="1"/>
  <c r="E32" i="20"/>
  <c r="D35" i="20"/>
  <c r="G60" i="21"/>
  <c r="F30" i="20"/>
  <c r="E35" i="20"/>
  <c r="E10" i="20"/>
  <c r="F3" i="20" s="1"/>
  <c r="D15" i="20"/>
  <c r="E12" i="20" s="1"/>
  <c r="F56" i="21"/>
  <c r="D20" i="20"/>
  <c r="E57" i="21"/>
  <c r="I42" i="21"/>
  <c r="I32" i="21"/>
  <c r="M52" i="21"/>
  <c r="F16" i="24"/>
  <c r="F21" i="24" s="1"/>
  <c r="E21" i="24" s="1"/>
  <c r="B21" i="24"/>
  <c r="N42" i="21"/>
  <c r="N32" i="21"/>
  <c r="O42" i="21"/>
  <c r="O32" i="21"/>
  <c r="P26" i="24"/>
  <c r="P27" i="24" s="1"/>
  <c r="P22" i="24"/>
  <c r="P23" i="24" s="1"/>
  <c r="P18" i="24"/>
  <c r="P19" i="24" s="1"/>
  <c r="N26" i="24"/>
  <c r="N27" i="24" s="1"/>
  <c r="N22" i="24"/>
  <c r="N23" i="24" s="1"/>
  <c r="N18" i="24"/>
  <c r="N19" i="24" s="1"/>
  <c r="I51" i="21"/>
  <c r="P42" i="21"/>
  <c r="P32" i="21"/>
  <c r="R22" i="24"/>
  <c r="R23" i="24" s="1"/>
  <c r="AE74" i="22"/>
  <c r="AD74" i="22"/>
  <c r="AC74" i="22"/>
  <c r="AB74" i="22"/>
  <c r="AA74" i="22"/>
  <c r="Z74" i="22"/>
  <c r="Y74" i="22"/>
  <c r="X74" i="22"/>
  <c r="W74" i="22"/>
  <c r="V74" i="22"/>
  <c r="U74" i="22"/>
  <c r="T74" i="22"/>
  <c r="AE103" i="22"/>
  <c r="AD103" i="22"/>
  <c r="AC103" i="22"/>
  <c r="AB103" i="22"/>
  <c r="AA103" i="22"/>
  <c r="Z103" i="22"/>
  <c r="Y103" i="22"/>
  <c r="X103" i="22"/>
  <c r="W103" i="22"/>
  <c r="V103" i="22"/>
  <c r="U103" i="22"/>
  <c r="T103" i="22"/>
  <c r="A115" i="22"/>
  <c r="C21" i="23" s="1"/>
  <c r="E107" i="22"/>
  <c r="F107" i="22" s="1"/>
  <c r="G107" i="22" s="1"/>
  <c r="H107" i="22" s="1"/>
  <c r="I107" i="22" s="1"/>
  <c r="J107" i="22" s="1"/>
  <c r="K107" i="22" s="1"/>
  <c r="L107" i="22" s="1"/>
  <c r="M107" i="22" s="1"/>
  <c r="N107" i="22" s="1"/>
  <c r="O107" i="22" s="1"/>
  <c r="E89" i="22"/>
  <c r="F89" i="22" s="1"/>
  <c r="G89" i="22" s="1"/>
  <c r="H89" i="22" s="1"/>
  <c r="I89" i="22" s="1"/>
  <c r="J89" i="22" s="1"/>
  <c r="K89" i="22" s="1"/>
  <c r="L89" i="22" s="1"/>
  <c r="M89" i="22" s="1"/>
  <c r="N89" i="22" s="1"/>
  <c r="O89" i="22" s="1"/>
  <c r="E69" i="22"/>
  <c r="F69" i="22" s="1"/>
  <c r="G69" i="22" s="1"/>
  <c r="H69" i="22" s="1"/>
  <c r="I69" i="22" s="1"/>
  <c r="J69" i="22" s="1"/>
  <c r="K69" i="22" s="1"/>
  <c r="L69" i="22" s="1"/>
  <c r="M69" i="22" s="1"/>
  <c r="N69" i="22" s="1"/>
  <c r="O69" i="22" s="1"/>
  <c r="I12" i="2"/>
  <c r="K12" i="2"/>
  <c r="F4" i="23"/>
  <c r="G52" i="21"/>
  <c r="M12" i="2"/>
  <c r="N51" i="21"/>
  <c r="O51" i="21"/>
  <c r="Q44" i="21"/>
  <c r="D97" i="2" s="1"/>
  <c r="N11" i="2"/>
  <c r="O4" i="23"/>
  <c r="P52" i="21"/>
  <c r="J46" i="21"/>
  <c r="J42" i="21"/>
  <c r="J32" i="21"/>
  <c r="Q16" i="21"/>
  <c r="H45" i="21"/>
  <c r="H21" i="21"/>
  <c r="H42" i="21"/>
  <c r="H32" i="21"/>
  <c r="J4" i="23"/>
  <c r="K52" i="21"/>
  <c r="L47" i="21"/>
  <c r="L51" i="21" s="1"/>
  <c r="L42" i="21"/>
  <c r="L32" i="21"/>
  <c r="Z64" i="22"/>
  <c r="Y64" i="22"/>
  <c r="X64" i="22"/>
  <c r="W64" i="22"/>
  <c r="V64" i="22"/>
  <c r="AE64" i="22"/>
  <c r="AD64" i="22"/>
  <c r="AC64" i="22"/>
  <c r="AB64" i="22"/>
  <c r="AA64" i="22"/>
  <c r="U64" i="22"/>
  <c r="T64" i="22"/>
  <c r="R26" i="24"/>
  <c r="R27" i="24" s="1"/>
  <c r="E98" i="22"/>
  <c r="F98" i="22" s="1"/>
  <c r="G98" i="22" s="1"/>
  <c r="H98" i="22" s="1"/>
  <c r="I98" i="22" s="1"/>
  <c r="J98" i="22" s="1"/>
  <c r="K98" i="22" s="1"/>
  <c r="L98" i="22" s="1"/>
  <c r="M98" i="22" s="1"/>
  <c r="N98" i="22" s="1"/>
  <c r="O98" i="22" s="1"/>
  <c r="E79" i="22"/>
  <c r="F79" i="22" s="1"/>
  <c r="G79" i="22" s="1"/>
  <c r="H79" i="22" s="1"/>
  <c r="I79" i="22" s="1"/>
  <c r="J79" i="22" s="1"/>
  <c r="K79" i="22" s="1"/>
  <c r="L79" i="22" s="1"/>
  <c r="M79" i="22" s="1"/>
  <c r="N79" i="22" s="1"/>
  <c r="O79" i="22" s="1"/>
  <c r="Q18" i="1"/>
  <c r="X103" i="12"/>
  <c r="AA103" i="12"/>
  <c r="H4" i="18"/>
  <c r="Y103" i="12"/>
  <c r="W103" i="12"/>
  <c r="O42" i="1"/>
  <c r="F21" i="1"/>
  <c r="F42" i="1" s="1"/>
  <c r="E9" i="2"/>
  <c r="I52" i="1"/>
  <c r="H64" i="2" s="1"/>
  <c r="O32" i="1"/>
  <c r="AB103" i="12"/>
  <c r="AD103" i="12"/>
  <c r="Z103" i="12"/>
  <c r="AC103" i="12"/>
  <c r="U103" i="12"/>
  <c r="T103" i="12"/>
  <c r="E21" i="1"/>
  <c r="E32" i="1" s="1"/>
  <c r="B21" i="16"/>
  <c r="U18" i="16"/>
  <c r="S110" i="12"/>
  <c r="S113" i="12" s="1"/>
  <c r="AB112" i="12" s="1"/>
  <c r="N21" i="1"/>
  <c r="H16" i="2"/>
  <c r="Q46" i="1"/>
  <c r="D94" i="2" s="1"/>
  <c r="E51" i="1"/>
  <c r="O51" i="1"/>
  <c r="S92" i="12"/>
  <c r="S95" i="12" s="1"/>
  <c r="Z94" i="12" s="1"/>
  <c r="Q17" i="1"/>
  <c r="Q14" i="1"/>
  <c r="G48" i="1"/>
  <c r="G21" i="1"/>
  <c r="G32" i="1" s="1"/>
  <c r="I42" i="1"/>
  <c r="I32" i="1"/>
  <c r="D69" i="12"/>
  <c r="P16" i="18"/>
  <c r="A64" i="12"/>
  <c r="A87" i="12"/>
  <c r="C18" i="18" s="1"/>
  <c r="A112" i="12"/>
  <c r="P20" i="23"/>
  <c r="P21" i="18"/>
  <c r="D98" i="12"/>
  <c r="E98" i="12" s="1"/>
  <c r="F98" i="12" s="1"/>
  <c r="G98" i="12" s="1"/>
  <c r="H98" i="12" s="1"/>
  <c r="I98" i="12" s="1"/>
  <c r="J98" i="12" s="1"/>
  <c r="K98" i="12" s="1"/>
  <c r="L98" i="12" s="1"/>
  <c r="M98" i="12" s="1"/>
  <c r="N98" i="12" s="1"/>
  <c r="O98" i="12" s="1"/>
  <c r="A94" i="12"/>
  <c r="P19" i="18"/>
  <c r="L18" i="16"/>
  <c r="N18" i="16"/>
  <c r="R18" i="16"/>
  <c r="V18" i="16"/>
  <c r="AD74" i="12"/>
  <c r="AB74" i="12"/>
  <c r="Y74" i="12"/>
  <c r="W74" i="12"/>
  <c r="AE74" i="12"/>
  <c r="AC74" i="12"/>
  <c r="AA74" i="12"/>
  <c r="Z74" i="12"/>
  <c r="V74" i="12"/>
  <c r="U74" i="12"/>
  <c r="X74" i="12"/>
  <c r="T74" i="12"/>
  <c r="H42" i="1"/>
  <c r="H32" i="1"/>
  <c r="L42" i="1"/>
  <c r="L32" i="1"/>
  <c r="P42" i="1"/>
  <c r="P32" i="1"/>
  <c r="A106" i="12"/>
  <c r="C20" i="18" s="1"/>
  <c r="A77" i="12"/>
  <c r="C17" i="18" s="1"/>
  <c r="E4" i="18"/>
  <c r="E16" i="2"/>
  <c r="G4" i="18"/>
  <c r="H52" i="1"/>
  <c r="G64" i="2" s="1"/>
  <c r="G16" i="2"/>
  <c r="E20" i="14"/>
  <c r="E13" i="14"/>
  <c r="E12" i="14"/>
  <c r="E50" i="14"/>
  <c r="E40" i="14"/>
  <c r="E29" i="14"/>
  <c r="AE84" i="12"/>
  <c r="AC84" i="12"/>
  <c r="AA84" i="12"/>
  <c r="Z84" i="12"/>
  <c r="X84" i="12"/>
  <c r="AD84" i="12"/>
  <c r="W84" i="12"/>
  <c r="T84" i="12"/>
  <c r="AB84" i="12"/>
  <c r="Y84" i="12"/>
  <c r="V84" i="12"/>
  <c r="U84" i="12"/>
  <c r="I4" i="18"/>
  <c r="I16" i="2"/>
  <c r="K4" i="18"/>
  <c r="K16" i="2"/>
  <c r="L52" i="1"/>
  <c r="K64" i="2" s="1"/>
  <c r="O4" i="18"/>
  <c r="O16" i="2"/>
  <c r="P52" i="1"/>
  <c r="O64" i="2" s="1"/>
  <c r="F60" i="1" l="1"/>
  <c r="E7" i="18" s="1"/>
  <c r="G19" i="14" s="1"/>
  <c r="D39" i="13"/>
  <c r="G27" i="13"/>
  <c r="G29" i="13" s="1"/>
  <c r="I73" i="1" s="1"/>
  <c r="G20" i="13"/>
  <c r="G23" i="13" s="1"/>
  <c r="J5" i="14" s="1"/>
  <c r="J31" i="14" s="1"/>
  <c r="H27" i="13"/>
  <c r="H29" i="13" s="1"/>
  <c r="J73" i="1" s="1"/>
  <c r="H20" i="13"/>
  <c r="H23" i="13" s="1"/>
  <c r="K5" i="14" s="1"/>
  <c r="K31" i="14" s="1"/>
  <c r="E27" i="13"/>
  <c r="E29" i="13" s="1"/>
  <c r="G73" i="1" s="1"/>
  <c r="E20" i="13"/>
  <c r="E23" i="13" s="1"/>
  <c r="H5" i="14" s="1"/>
  <c r="H31" i="14" s="1"/>
  <c r="AE19" i="18"/>
  <c r="AF19" i="18" s="1"/>
  <c r="C14" i="18" s="1"/>
  <c r="W5" i="18"/>
  <c r="V6" i="18"/>
  <c r="V7" i="18" s="1"/>
  <c r="F5" i="14"/>
  <c r="F31" i="14" s="1"/>
  <c r="K32" i="1"/>
  <c r="N31" i="12"/>
  <c r="N33" i="12" s="1"/>
  <c r="N35" i="12" s="1"/>
  <c r="M33" i="12"/>
  <c r="M35" i="12" s="1"/>
  <c r="F32" i="1"/>
  <c r="F52" i="1"/>
  <c r="E64" i="2" s="1"/>
  <c r="A115" i="12"/>
  <c r="C21" i="18" s="1"/>
  <c r="J42" i="1"/>
  <c r="M32" i="1"/>
  <c r="J16" i="2"/>
  <c r="F27" i="18"/>
  <c r="H56" i="1"/>
  <c r="G5" i="18" s="1"/>
  <c r="F27" i="13"/>
  <c r="F29" i="13" s="1"/>
  <c r="I27" i="18"/>
  <c r="H27" i="18"/>
  <c r="E37" i="14"/>
  <c r="N44" i="14"/>
  <c r="O42" i="14"/>
  <c r="AB25" i="13"/>
  <c r="AB30" i="13" s="1"/>
  <c r="AA17" i="13"/>
  <c r="J56" i="1"/>
  <c r="I5" i="18" s="1"/>
  <c r="Y20" i="13"/>
  <c r="Z18" i="13"/>
  <c r="Z19" i="13"/>
  <c r="J52" i="1"/>
  <c r="I64" i="2" s="1"/>
  <c r="G22" i="12"/>
  <c r="G24" i="12" s="1"/>
  <c r="H20" i="12"/>
  <c r="F23" i="12"/>
  <c r="I56" i="1"/>
  <c r="H5" i="18" s="1"/>
  <c r="H11" i="12"/>
  <c r="H13" i="12" s="1"/>
  <c r="I9" i="12"/>
  <c r="G91" i="12"/>
  <c r="W81" i="12"/>
  <c r="K91" i="12"/>
  <c r="AA81" i="12"/>
  <c r="O91" i="12"/>
  <c r="AE81" i="12"/>
  <c r="I91" i="12"/>
  <c r="Y81" i="12"/>
  <c r="M91" i="12"/>
  <c r="AC81" i="12"/>
  <c r="H66" i="12"/>
  <c r="G67" i="12"/>
  <c r="L4" i="18"/>
  <c r="K52" i="1"/>
  <c r="J64" i="2" s="1"/>
  <c r="T64" i="12"/>
  <c r="D95" i="2"/>
  <c r="W64" i="12"/>
  <c r="AB64" i="12"/>
  <c r="AA64" i="12"/>
  <c r="M16" i="2"/>
  <c r="M52" i="1"/>
  <c r="L64" i="2" s="1"/>
  <c r="U64" i="12"/>
  <c r="V64" i="12"/>
  <c r="Y64" i="12"/>
  <c r="X64" i="12"/>
  <c r="Z64" i="12"/>
  <c r="AC64" i="12"/>
  <c r="AD64" i="12"/>
  <c r="AE112" i="12"/>
  <c r="N52" i="1"/>
  <c r="M64" i="2" s="1"/>
  <c r="Q21" i="21"/>
  <c r="Q32" i="21" s="1"/>
  <c r="E52" i="21"/>
  <c r="D4" i="23"/>
  <c r="E4" i="23"/>
  <c r="F52" i="21"/>
  <c r="E39" i="13"/>
  <c r="G35" i="13"/>
  <c r="H59" i="1"/>
  <c r="F33" i="13"/>
  <c r="F39" i="13" s="1"/>
  <c r="D16" i="13"/>
  <c r="F57" i="1" s="1"/>
  <c r="E6" i="18" s="1"/>
  <c r="G81" i="22"/>
  <c r="W71" i="22"/>
  <c r="O81" i="22"/>
  <c r="AE71" i="22"/>
  <c r="M81" i="22"/>
  <c r="AC71" i="22"/>
  <c r="I18" i="13"/>
  <c r="J10" i="13"/>
  <c r="K3" i="13" s="1"/>
  <c r="K56" i="1"/>
  <c r="J5" i="18" s="1"/>
  <c r="G56" i="1"/>
  <c r="F5" i="18" s="1"/>
  <c r="E5" i="18"/>
  <c r="F88" i="1"/>
  <c r="G33" i="13"/>
  <c r="G37" i="13"/>
  <c r="H37" i="13" s="1"/>
  <c r="I37" i="13" s="1"/>
  <c r="H58" i="1"/>
  <c r="E100" i="1"/>
  <c r="F7" i="14"/>
  <c r="F17" i="14" s="1"/>
  <c r="F7" i="18"/>
  <c r="E88" i="1"/>
  <c r="E94" i="1" s="1"/>
  <c r="E15" i="13"/>
  <c r="F12" i="13" s="1"/>
  <c r="V112" i="12"/>
  <c r="AD112" i="12"/>
  <c r="T94" i="12"/>
  <c r="D92" i="2"/>
  <c r="K109" i="22"/>
  <c r="AA109" i="22" s="1"/>
  <c r="AA100" i="22"/>
  <c r="I51" i="22"/>
  <c r="J61" i="22" s="1"/>
  <c r="I29" i="22"/>
  <c r="I40" i="22" s="1"/>
  <c r="I91" i="22"/>
  <c r="Y81" i="22"/>
  <c r="K51" i="22"/>
  <c r="L61" i="22" s="1"/>
  <c r="K29" i="22"/>
  <c r="K40" i="22" s="1"/>
  <c r="H100" i="12"/>
  <c r="X91" i="12"/>
  <c r="L100" i="12"/>
  <c r="AB91" i="12"/>
  <c r="G51" i="22"/>
  <c r="H61" i="22" s="1"/>
  <c r="G29" i="22"/>
  <c r="G40" i="22" s="1"/>
  <c r="F100" i="12"/>
  <c r="V91" i="12"/>
  <c r="J100" i="12"/>
  <c r="Z91" i="12"/>
  <c r="N100" i="12"/>
  <c r="AD91" i="12"/>
  <c r="E51" i="22"/>
  <c r="F61" i="22" s="1"/>
  <c r="E29" i="22"/>
  <c r="E40" i="22" s="1"/>
  <c r="M51" i="22"/>
  <c r="N61" i="22" s="1"/>
  <c r="M29" i="22"/>
  <c r="M40" i="22" s="1"/>
  <c r="E91" i="12"/>
  <c r="U81" i="12"/>
  <c r="E81" i="22"/>
  <c r="U71" i="22"/>
  <c r="C51" i="22"/>
  <c r="D61" i="22" s="1"/>
  <c r="C29" i="22"/>
  <c r="C40" i="22" s="1"/>
  <c r="D91" i="12"/>
  <c r="T81" i="12"/>
  <c r="G58" i="21"/>
  <c r="F34" i="20"/>
  <c r="G59" i="21"/>
  <c r="F7" i="23" s="1"/>
  <c r="F32" i="20"/>
  <c r="D6" i="23"/>
  <c r="E88" i="21"/>
  <c r="D16" i="20"/>
  <c r="E18" i="20"/>
  <c r="E5" i="23"/>
  <c r="G4" i="14"/>
  <c r="E15" i="20"/>
  <c r="F12" i="20" s="1"/>
  <c r="F10" i="20"/>
  <c r="G3" i="20" s="1"/>
  <c r="H60" i="21"/>
  <c r="G30" i="20"/>
  <c r="F35" i="20"/>
  <c r="K4" i="23"/>
  <c r="L52" i="21"/>
  <c r="A77" i="22"/>
  <c r="C17" i="23" s="1"/>
  <c r="A97" i="22"/>
  <c r="C19" i="23" s="1"/>
  <c r="N4" i="23"/>
  <c r="O52" i="21"/>
  <c r="A67" i="22"/>
  <c r="C16" i="23" s="1"/>
  <c r="A87" i="22"/>
  <c r="C18" i="23" s="1"/>
  <c r="A106" i="22"/>
  <c r="C20" i="23" s="1"/>
  <c r="K14" i="2"/>
  <c r="Q47" i="21"/>
  <c r="D100" i="2" s="1"/>
  <c r="G12" i="2"/>
  <c r="H51" i="21"/>
  <c r="Q45" i="21"/>
  <c r="D98" i="2" s="1"/>
  <c r="I13" i="2"/>
  <c r="Q46" i="21"/>
  <c r="D99" i="2" s="1"/>
  <c r="M4" i="23"/>
  <c r="N52" i="21"/>
  <c r="J51" i="21"/>
  <c r="H4" i="23"/>
  <c r="I52" i="21"/>
  <c r="X112" i="12"/>
  <c r="AA112" i="12"/>
  <c r="Y112" i="12"/>
  <c r="AA94" i="12"/>
  <c r="N42" i="1"/>
  <c r="A97" i="12"/>
  <c r="C19" i="18" s="1"/>
  <c r="F16" i="16"/>
  <c r="F21" i="16" s="1"/>
  <c r="E21" i="16" s="1"/>
  <c r="T112" i="12"/>
  <c r="U112" i="12"/>
  <c r="Z112" i="12"/>
  <c r="AC112" i="12"/>
  <c r="W112" i="12"/>
  <c r="E42" i="1"/>
  <c r="Q21" i="1"/>
  <c r="N32" i="1"/>
  <c r="B27" i="14"/>
  <c r="E27" i="14" s="1"/>
  <c r="V94" i="12"/>
  <c r="AD94" i="12"/>
  <c r="Y94" i="12"/>
  <c r="AE94" i="12"/>
  <c r="X94" i="12"/>
  <c r="U94" i="12"/>
  <c r="AB94" i="12"/>
  <c r="W94" i="12"/>
  <c r="AC94" i="12"/>
  <c r="D4" i="18"/>
  <c r="D16" i="2"/>
  <c r="E52" i="1"/>
  <c r="D64" i="2" s="1"/>
  <c r="N16" i="2"/>
  <c r="N4" i="18"/>
  <c r="O52" i="1"/>
  <c r="N64" i="2" s="1"/>
  <c r="G42" i="1"/>
  <c r="F10" i="2"/>
  <c r="G51" i="1"/>
  <c r="Q48" i="1"/>
  <c r="D96" i="2" s="1"/>
  <c r="E69" i="12"/>
  <c r="F69" i="12" s="1"/>
  <c r="B25" i="14"/>
  <c r="I27" i="13" l="1"/>
  <c r="I29" i="13" s="1"/>
  <c r="I20" i="13"/>
  <c r="I23" i="13" s="1"/>
  <c r="X5" i="18"/>
  <c r="W6" i="18"/>
  <c r="W7" i="18" s="1"/>
  <c r="F32" i="14"/>
  <c r="F30" i="14"/>
  <c r="F11" i="14"/>
  <c r="F14" i="14" s="1"/>
  <c r="B49" i="14"/>
  <c r="E49" i="14" s="1"/>
  <c r="M23" i="14"/>
  <c r="E12" i="12"/>
  <c r="D15" i="12"/>
  <c r="Q32" i="1"/>
  <c r="S15" i="1"/>
  <c r="S16" i="1"/>
  <c r="S14" i="1"/>
  <c r="G23" i="12"/>
  <c r="G26" i="12" s="1"/>
  <c r="F26" i="12"/>
  <c r="B26" i="14"/>
  <c r="E26" i="14" s="1"/>
  <c r="E45" i="12"/>
  <c r="D48" i="12"/>
  <c r="E34" i="12"/>
  <c r="D37" i="12"/>
  <c r="J27" i="18"/>
  <c r="K73" i="1"/>
  <c r="G27" i="18"/>
  <c r="H73" i="1"/>
  <c r="O44" i="14"/>
  <c r="P42" i="14"/>
  <c r="AC25" i="13"/>
  <c r="AC30" i="13" s="1"/>
  <c r="AC17" i="13" s="1"/>
  <c r="AB17" i="13"/>
  <c r="Z20" i="13"/>
  <c r="AA18" i="13"/>
  <c r="AA19" i="13"/>
  <c r="Q42" i="21"/>
  <c r="F100" i="1"/>
  <c r="F106" i="1" s="1"/>
  <c r="F108" i="1" s="1"/>
  <c r="F109" i="1" s="1"/>
  <c r="I20" i="12"/>
  <c r="H22" i="12"/>
  <c r="H24" i="12" s="1"/>
  <c r="J9" i="12"/>
  <c r="I11" i="12"/>
  <c r="I13" i="12" s="1"/>
  <c r="M100" i="12"/>
  <c r="AC91" i="12"/>
  <c r="I100" i="12"/>
  <c r="Y91" i="12"/>
  <c r="O100" i="12"/>
  <c r="AE91" i="12"/>
  <c r="K100" i="12"/>
  <c r="AA91" i="12"/>
  <c r="G100" i="12"/>
  <c r="W91" i="12"/>
  <c r="G69" i="12"/>
  <c r="I66" i="12"/>
  <c r="H67" i="12"/>
  <c r="L23" i="14"/>
  <c r="N23" i="14"/>
  <c r="Q23" i="14"/>
  <c r="O23" i="14"/>
  <c r="J23" i="14"/>
  <c r="K23" i="14"/>
  <c r="H23" i="14"/>
  <c r="F23" i="14"/>
  <c r="H60" i="1"/>
  <c r="G7" i="18" s="1"/>
  <c r="H35" i="13"/>
  <c r="I59" i="1"/>
  <c r="E16" i="13"/>
  <c r="G57" i="1" s="1"/>
  <c r="G88" i="1" s="1"/>
  <c r="G94" i="1" s="1"/>
  <c r="Q42" i="1"/>
  <c r="M91" i="22"/>
  <c r="AC81" i="22"/>
  <c r="O91" i="22"/>
  <c r="AE81" i="22"/>
  <c r="W81" i="22"/>
  <c r="G91" i="22"/>
  <c r="J18" i="13"/>
  <c r="J20" i="13" s="1"/>
  <c r="J23" i="13" s="1"/>
  <c r="M5" i="14" s="1"/>
  <c r="M31" i="14" s="1"/>
  <c r="K10" i="13"/>
  <c r="L3" i="13" s="1"/>
  <c r="F6" i="18"/>
  <c r="H33" i="13"/>
  <c r="I60" i="1"/>
  <c r="G39" i="13"/>
  <c r="E3" i="18"/>
  <c r="E23" i="18" s="1"/>
  <c r="F94" i="1"/>
  <c r="F95" i="1" s="1"/>
  <c r="F89" i="1"/>
  <c r="E65" i="2" s="1"/>
  <c r="H19" i="14"/>
  <c r="F15" i="13"/>
  <c r="G12" i="13" s="1"/>
  <c r="D3" i="18"/>
  <c r="D23" i="18" s="1"/>
  <c r="E89" i="1"/>
  <c r="D65" i="2" s="1"/>
  <c r="E106" i="1"/>
  <c r="I58" i="1"/>
  <c r="P23" i="14"/>
  <c r="N71" i="22"/>
  <c r="AD61" i="22"/>
  <c r="F71" i="22"/>
  <c r="V61" i="22"/>
  <c r="N109" i="12"/>
  <c r="AD109" i="12" s="1"/>
  <c r="AD100" i="12"/>
  <c r="J109" i="12"/>
  <c r="Z109" i="12" s="1"/>
  <c r="Z100" i="12"/>
  <c r="F109" i="12"/>
  <c r="V109" i="12" s="1"/>
  <c r="V100" i="12"/>
  <c r="X61" i="22"/>
  <c r="H71" i="22"/>
  <c r="L109" i="12"/>
  <c r="AB109" i="12" s="1"/>
  <c r="AB100" i="12"/>
  <c r="H109" i="12"/>
  <c r="X109" i="12" s="1"/>
  <c r="X100" i="12"/>
  <c r="AB61" i="22"/>
  <c r="L71" i="22"/>
  <c r="I100" i="22"/>
  <c r="Y91" i="22"/>
  <c r="J71" i="22"/>
  <c r="Z61" i="22"/>
  <c r="E91" i="22"/>
  <c r="U81" i="22"/>
  <c r="E100" i="12"/>
  <c r="U91" i="12"/>
  <c r="D100" i="12"/>
  <c r="T91" i="12"/>
  <c r="D71" i="22"/>
  <c r="T61" i="22"/>
  <c r="H58" i="21"/>
  <c r="G34" i="20"/>
  <c r="H59" i="21"/>
  <c r="G7" i="23" s="1"/>
  <c r="G32" i="20"/>
  <c r="F18" i="20"/>
  <c r="G10" i="20"/>
  <c r="H3" i="20" s="1"/>
  <c r="E16" i="20"/>
  <c r="G57" i="21" s="1"/>
  <c r="F6" i="23" s="1"/>
  <c r="G7" i="14"/>
  <c r="F57" i="21"/>
  <c r="G30" i="14"/>
  <c r="G32" i="14"/>
  <c r="G11" i="14"/>
  <c r="F18" i="14"/>
  <c r="E100" i="21"/>
  <c r="I60" i="21"/>
  <c r="H30" i="20"/>
  <c r="G35" i="20"/>
  <c r="H56" i="21"/>
  <c r="F20" i="20"/>
  <c r="F16" i="20"/>
  <c r="H57" i="21" s="1"/>
  <c r="G6" i="23" s="1"/>
  <c r="F15" i="20"/>
  <c r="G12" i="20" s="1"/>
  <c r="G56" i="21"/>
  <c r="E20" i="20"/>
  <c r="D3" i="23"/>
  <c r="D23" i="23" s="1"/>
  <c r="E94" i="21"/>
  <c r="E89" i="21"/>
  <c r="I4" i="23"/>
  <c r="J52" i="21"/>
  <c r="G4" i="23"/>
  <c r="H52" i="21"/>
  <c r="Q51" i="21"/>
  <c r="G23" i="14"/>
  <c r="B24" i="14"/>
  <c r="E24" i="14" s="1"/>
  <c r="D102" i="2"/>
  <c r="I92" i="2" s="1"/>
  <c r="I23" i="14"/>
  <c r="E95" i="1"/>
  <c r="E98" i="1"/>
  <c r="F4" i="18"/>
  <c r="Q51" i="1"/>
  <c r="G52" i="1"/>
  <c r="F64" i="2" s="1"/>
  <c r="F16" i="2"/>
  <c r="E25" i="14"/>
  <c r="L5" i="14" l="1"/>
  <c r="L31" i="14" s="1"/>
  <c r="Y5" i="18"/>
  <c r="X6" i="18"/>
  <c r="X7" i="18" s="1"/>
  <c r="F12" i="12"/>
  <c r="E15" i="12"/>
  <c r="J27" i="13"/>
  <c r="J29" i="13" s="1"/>
  <c r="H7" i="18"/>
  <c r="F34" i="12"/>
  <c r="E37" i="12"/>
  <c r="F45" i="12"/>
  <c r="E48" i="12"/>
  <c r="G21" i="14"/>
  <c r="P44" i="14"/>
  <c r="Q42" i="14"/>
  <c r="AA20" i="13"/>
  <c r="AB18" i="13"/>
  <c r="AB19" i="13"/>
  <c r="F33" i="14"/>
  <c r="F46" i="14" s="1"/>
  <c r="I22" i="12"/>
  <c r="I24" i="12" s="1"/>
  <c r="J20" i="12"/>
  <c r="H23" i="12"/>
  <c r="J11" i="12"/>
  <c r="J13" i="12" s="1"/>
  <c r="K9" i="12"/>
  <c r="W100" i="12"/>
  <c r="G109" i="12"/>
  <c r="W109" i="12" s="1"/>
  <c r="AA100" i="12"/>
  <c r="K109" i="12"/>
  <c r="AA109" i="12" s="1"/>
  <c r="AE100" i="12"/>
  <c r="O109" i="12"/>
  <c r="AE109" i="12" s="1"/>
  <c r="Y100" i="12"/>
  <c r="I109" i="12"/>
  <c r="Y109" i="12" s="1"/>
  <c r="AC100" i="12"/>
  <c r="M109" i="12"/>
  <c r="AC109" i="12" s="1"/>
  <c r="J66" i="12"/>
  <c r="I67" i="12"/>
  <c r="H69" i="12"/>
  <c r="H18" i="14"/>
  <c r="I93" i="2"/>
  <c r="I19" i="14"/>
  <c r="J59" i="1"/>
  <c r="I35" i="13"/>
  <c r="G100" i="22"/>
  <c r="W91" i="22"/>
  <c r="O100" i="22"/>
  <c r="AE91" i="22"/>
  <c r="M100" i="22"/>
  <c r="AC91" i="22"/>
  <c r="L10" i="13"/>
  <c r="M3" i="13" s="1"/>
  <c r="K18" i="13"/>
  <c r="L56" i="1"/>
  <c r="K5" i="18" s="1"/>
  <c r="E108" i="1"/>
  <c r="G15" i="13"/>
  <c r="H12" i="13" s="1"/>
  <c r="G100" i="1"/>
  <c r="J58" i="1"/>
  <c r="F16" i="13"/>
  <c r="I33" i="13"/>
  <c r="H39" i="13"/>
  <c r="J60" i="1"/>
  <c r="F3" i="18"/>
  <c r="G89" i="1"/>
  <c r="F65" i="2" s="1"/>
  <c r="L81" i="22"/>
  <c r="AB71" i="22"/>
  <c r="H81" i="22"/>
  <c r="X71" i="22"/>
  <c r="J81" i="22"/>
  <c r="Z71" i="22"/>
  <c r="I109" i="22"/>
  <c r="Y109" i="22" s="1"/>
  <c r="Y100" i="22"/>
  <c r="F81" i="22"/>
  <c r="V71" i="22"/>
  <c r="N81" i="22"/>
  <c r="AD71" i="22"/>
  <c r="E109" i="12"/>
  <c r="U109" i="12" s="1"/>
  <c r="U100" i="12"/>
  <c r="E100" i="22"/>
  <c r="U91" i="22"/>
  <c r="D81" i="22"/>
  <c r="T71" i="22"/>
  <c r="D109" i="12"/>
  <c r="T109" i="12" s="1"/>
  <c r="T100" i="12"/>
  <c r="I58" i="21"/>
  <c r="H34" i="20"/>
  <c r="I59" i="21"/>
  <c r="H7" i="23" s="1"/>
  <c r="J19" i="14" s="1"/>
  <c r="H32" i="20"/>
  <c r="E95" i="21"/>
  <c r="E98" i="21"/>
  <c r="F97" i="21" s="1"/>
  <c r="G88" i="21"/>
  <c r="F5" i="23"/>
  <c r="H4" i="14"/>
  <c r="H88" i="21"/>
  <c r="G5" i="23"/>
  <c r="I4" i="14"/>
  <c r="J60" i="21"/>
  <c r="I30" i="20"/>
  <c r="H35" i="20"/>
  <c r="G14" i="14"/>
  <c r="G17" i="14"/>
  <c r="H10" i="20"/>
  <c r="I3" i="20" s="1"/>
  <c r="G15" i="20"/>
  <c r="H12" i="20" s="1"/>
  <c r="I30" i="14"/>
  <c r="I32" i="14"/>
  <c r="I11" i="14"/>
  <c r="I14" i="14" s="1"/>
  <c r="E106" i="21"/>
  <c r="E6" i="23"/>
  <c r="F88" i="21"/>
  <c r="G18" i="20"/>
  <c r="B4" i="23"/>
  <c r="Q52" i="21"/>
  <c r="S52" i="21" s="1"/>
  <c r="B23" i="14"/>
  <c r="E23" i="14" s="1"/>
  <c r="D37" i="2"/>
  <c r="F97" i="1"/>
  <c r="F98" i="1" s="1"/>
  <c r="Q52" i="1"/>
  <c r="F23" i="18"/>
  <c r="B4" i="18"/>
  <c r="G95" i="1"/>
  <c r="K27" i="13" l="1"/>
  <c r="K29" i="13" s="1"/>
  <c r="K20" i="13"/>
  <c r="K23" i="13" s="1"/>
  <c r="Y6" i="18"/>
  <c r="Y7" i="18" s="1"/>
  <c r="Z5" i="18"/>
  <c r="G12" i="12"/>
  <c r="F15" i="12"/>
  <c r="K27" i="18"/>
  <c r="L73" i="1"/>
  <c r="H21" i="14"/>
  <c r="I23" i="12"/>
  <c r="I26" i="12" s="1"/>
  <c r="H26" i="12"/>
  <c r="G45" i="12"/>
  <c r="F48" i="12"/>
  <c r="G34" i="12"/>
  <c r="F37" i="12"/>
  <c r="L27" i="18"/>
  <c r="M73" i="1"/>
  <c r="Q44" i="14"/>
  <c r="B44" i="14" s="1"/>
  <c r="E44" i="14" s="1"/>
  <c r="B42" i="14"/>
  <c r="AB20" i="13"/>
  <c r="AC19" i="13"/>
  <c r="AC18" i="13"/>
  <c r="K20" i="12"/>
  <c r="J22" i="12"/>
  <c r="J24" i="12" s="1"/>
  <c r="L9" i="12"/>
  <c r="K11" i="12"/>
  <c r="K13" i="12" s="1"/>
  <c r="I69" i="12"/>
  <c r="K66" i="12"/>
  <c r="J67" i="12"/>
  <c r="J35" i="13"/>
  <c r="K59" i="1"/>
  <c r="M109" i="22"/>
  <c r="AC109" i="22" s="1"/>
  <c r="AC100" i="22"/>
  <c r="O109" i="22"/>
  <c r="AE109" i="22" s="1"/>
  <c r="AE100" i="22"/>
  <c r="G109" i="22"/>
  <c r="W109" i="22" s="1"/>
  <c r="W100" i="22"/>
  <c r="L18" i="13"/>
  <c r="M56" i="1"/>
  <c r="L5" i="18" s="1"/>
  <c r="M10" i="13"/>
  <c r="N3" i="13" s="1"/>
  <c r="J33" i="13"/>
  <c r="K60" i="1"/>
  <c r="I39" i="13"/>
  <c r="I7" i="18"/>
  <c r="H15" i="13"/>
  <c r="I12" i="13" s="1"/>
  <c r="E112" i="1"/>
  <c r="E109" i="1"/>
  <c r="H57" i="1"/>
  <c r="J37" i="13"/>
  <c r="K58" i="1"/>
  <c r="G106" i="1"/>
  <c r="G16" i="13"/>
  <c r="I57" i="1" s="1"/>
  <c r="I88" i="1" s="1"/>
  <c r="AD81" i="22"/>
  <c r="N91" i="22"/>
  <c r="V81" i="22"/>
  <c r="F91" i="22"/>
  <c r="Z81" i="22"/>
  <c r="J91" i="22"/>
  <c r="X81" i="22"/>
  <c r="H91" i="22"/>
  <c r="AB81" i="22"/>
  <c r="L91" i="22"/>
  <c r="E109" i="22"/>
  <c r="U109" i="22" s="1"/>
  <c r="U100" i="22"/>
  <c r="D91" i="22"/>
  <c r="T81" i="22"/>
  <c r="J58" i="21"/>
  <c r="I34" i="20"/>
  <c r="J59" i="21"/>
  <c r="I7" i="23" s="1"/>
  <c r="I32" i="20"/>
  <c r="F94" i="21"/>
  <c r="F98" i="21" s="1"/>
  <c r="G97" i="21" s="1"/>
  <c r="F89" i="21"/>
  <c r="E3" i="23"/>
  <c r="H15" i="20"/>
  <c r="I12" i="20" s="1"/>
  <c r="I10" i="20"/>
  <c r="J3" i="20" s="1"/>
  <c r="H100" i="21"/>
  <c r="H106" i="21" s="1"/>
  <c r="H108" i="21" s="1"/>
  <c r="H109" i="21" s="1"/>
  <c r="I7" i="14"/>
  <c r="I17" i="14" s="1"/>
  <c r="F3" i="23"/>
  <c r="G89" i="21"/>
  <c r="G94" i="21"/>
  <c r="G95" i="21" s="1"/>
  <c r="I56" i="21"/>
  <c r="G20" i="20"/>
  <c r="G18" i="14"/>
  <c r="G33" i="14" s="1"/>
  <c r="F100" i="21"/>
  <c r="E23" i="23"/>
  <c r="E108" i="21"/>
  <c r="G16" i="20"/>
  <c r="H30" i="14"/>
  <c r="H32" i="14"/>
  <c r="H11" i="14"/>
  <c r="H18" i="20"/>
  <c r="K60" i="21"/>
  <c r="J30" i="20"/>
  <c r="I35" i="20"/>
  <c r="G3" i="23"/>
  <c r="G23" i="23" s="1"/>
  <c r="H89" i="21"/>
  <c r="H94" i="21"/>
  <c r="H95" i="21" s="1"/>
  <c r="G100" i="21"/>
  <c r="G106" i="21" s="1"/>
  <c r="G108" i="21" s="1"/>
  <c r="G109" i="21" s="1"/>
  <c r="H7" i="14"/>
  <c r="F23" i="23"/>
  <c r="E37" i="2"/>
  <c r="G97" i="1"/>
  <c r="G98" i="1" s="1"/>
  <c r="F62" i="14"/>
  <c r="L27" i="13" l="1"/>
  <c r="L29" i="13" s="1"/>
  <c r="L20" i="13"/>
  <c r="L23" i="13" s="1"/>
  <c r="O5" i="14" s="1"/>
  <c r="O31" i="14" s="1"/>
  <c r="N5" i="14"/>
  <c r="N31" i="14" s="1"/>
  <c r="Z6" i="18"/>
  <c r="Z7" i="18" s="1"/>
  <c r="AA5" i="18"/>
  <c r="H12" i="12"/>
  <c r="G15" i="12"/>
  <c r="J7" i="18"/>
  <c r="H34" i="12"/>
  <c r="G37" i="12"/>
  <c r="H45" i="12"/>
  <c r="G48" i="12"/>
  <c r="I21" i="14"/>
  <c r="N73" i="1"/>
  <c r="M27" i="18"/>
  <c r="E42" i="14"/>
  <c r="AC20" i="13"/>
  <c r="AD20" i="13" s="1"/>
  <c r="AE20" i="13" s="1"/>
  <c r="K22" i="12"/>
  <c r="K24" i="12" s="1"/>
  <c r="L20" i="12"/>
  <c r="J23" i="12"/>
  <c r="L11" i="12"/>
  <c r="L13" i="12" s="1"/>
  <c r="M9" i="12"/>
  <c r="L66" i="12"/>
  <c r="K67" i="12"/>
  <c r="J69" i="12"/>
  <c r="L59" i="1"/>
  <c r="K35" i="13"/>
  <c r="K19" i="14"/>
  <c r="M18" i="13"/>
  <c r="N10" i="13"/>
  <c r="N18" i="13" s="1"/>
  <c r="N20" i="13" s="1"/>
  <c r="N23" i="13" s="1"/>
  <c r="Q5" i="14" s="1"/>
  <c r="Q31" i="14" s="1"/>
  <c r="O56" i="1"/>
  <c r="N5" i="18" s="1"/>
  <c r="N56" i="1"/>
  <c r="M5" i="18" s="1"/>
  <c r="I15" i="13"/>
  <c r="J12" i="13" s="1"/>
  <c r="H6" i="18"/>
  <c r="G108" i="1"/>
  <c r="G109" i="1" s="1"/>
  <c r="K37" i="13"/>
  <c r="L58" i="1"/>
  <c r="G6" i="18"/>
  <c r="H88" i="1"/>
  <c r="D38" i="2"/>
  <c r="F111" i="1"/>
  <c r="F112" i="1" s="1"/>
  <c r="D24" i="18"/>
  <c r="H16" i="13"/>
  <c r="K33" i="13"/>
  <c r="J39" i="13"/>
  <c r="L60" i="1"/>
  <c r="L100" i="22"/>
  <c r="AB91" i="22"/>
  <c r="H100" i="22"/>
  <c r="X91" i="22"/>
  <c r="J100" i="22"/>
  <c r="Z91" i="22"/>
  <c r="F100" i="22"/>
  <c r="V91" i="22"/>
  <c r="N100" i="22"/>
  <c r="AD91" i="22"/>
  <c r="D100" i="22"/>
  <c r="T91" i="22"/>
  <c r="K58" i="21"/>
  <c r="J34" i="20"/>
  <c r="K59" i="21"/>
  <c r="J7" i="23" s="1"/>
  <c r="J32" i="20"/>
  <c r="G98" i="21"/>
  <c r="H97" i="21" s="1"/>
  <c r="H98" i="21" s="1"/>
  <c r="I97" i="21" s="1"/>
  <c r="H17" i="14"/>
  <c r="L60" i="21"/>
  <c r="K30" i="20"/>
  <c r="J35" i="20"/>
  <c r="J56" i="21"/>
  <c r="H20" i="20"/>
  <c r="E109" i="21"/>
  <c r="E112" i="21"/>
  <c r="J10" i="20"/>
  <c r="K3" i="20" s="1"/>
  <c r="I15" i="20"/>
  <c r="J12" i="20" s="1"/>
  <c r="I16" i="20"/>
  <c r="K57" i="21" s="1"/>
  <c r="J6" i="23" s="1"/>
  <c r="G46" i="14"/>
  <c r="H14" i="14"/>
  <c r="I57" i="21"/>
  <c r="H6" i="23" s="1"/>
  <c r="F106" i="21"/>
  <c r="I88" i="21"/>
  <c r="H5" i="23"/>
  <c r="J4" i="14"/>
  <c r="I18" i="20"/>
  <c r="H16" i="20"/>
  <c r="J57" i="21" s="1"/>
  <c r="I6" i="23" s="1"/>
  <c r="F95" i="21"/>
  <c r="F37" i="2"/>
  <c r="H97" i="1"/>
  <c r="F63" i="14"/>
  <c r="L19" i="14" l="1"/>
  <c r="M27" i="13"/>
  <c r="M29" i="13" s="1"/>
  <c r="M20" i="13"/>
  <c r="M23" i="13" s="1"/>
  <c r="AA6" i="18"/>
  <c r="AA7" i="18" s="1"/>
  <c r="AB5" i="18"/>
  <c r="I12" i="12"/>
  <c r="H15" i="12"/>
  <c r="J21" i="14"/>
  <c r="K23" i="12"/>
  <c r="K26" i="12" s="1"/>
  <c r="J26" i="12"/>
  <c r="N27" i="13"/>
  <c r="N29" i="13" s="1"/>
  <c r="O27" i="18" s="1"/>
  <c r="B19" i="13"/>
  <c r="I45" i="12"/>
  <c r="H48" i="12"/>
  <c r="I34" i="12"/>
  <c r="H37" i="12"/>
  <c r="N27" i="18"/>
  <c r="O73" i="1"/>
  <c r="P73" i="1"/>
  <c r="M20" i="12"/>
  <c r="L22" i="12"/>
  <c r="L24" i="12" s="1"/>
  <c r="N9" i="12"/>
  <c r="N11" i="12" s="1"/>
  <c r="N13" i="12" s="1"/>
  <c r="M11" i="12"/>
  <c r="M13" i="12" s="1"/>
  <c r="K69" i="12"/>
  <c r="M66" i="12"/>
  <c r="L67" i="12"/>
  <c r="L35" i="13"/>
  <c r="M59" i="1"/>
  <c r="J18" i="14"/>
  <c r="I16" i="13"/>
  <c r="K57" i="1" s="1"/>
  <c r="J6" i="18" s="1"/>
  <c r="L18" i="14" s="1"/>
  <c r="B20" i="13"/>
  <c r="P56" i="1"/>
  <c r="O5" i="18" s="1"/>
  <c r="B18" i="13"/>
  <c r="B5" i="18"/>
  <c r="L33" i="13"/>
  <c r="M60" i="1"/>
  <c r="K39" i="13"/>
  <c r="H100" i="1"/>
  <c r="I18" i="14"/>
  <c r="I33" i="14" s="1"/>
  <c r="I46" i="14" s="1"/>
  <c r="I62" i="14" s="1"/>
  <c r="M58" i="1"/>
  <c r="L7" i="18" s="1"/>
  <c r="L37" i="13"/>
  <c r="I100" i="1"/>
  <c r="I106" i="1" s="1"/>
  <c r="I108" i="1" s="1"/>
  <c r="I109" i="1" s="1"/>
  <c r="J57" i="1"/>
  <c r="G111" i="1"/>
  <c r="G112" i="1" s="1"/>
  <c r="E38" i="2"/>
  <c r="E24" i="18"/>
  <c r="G3" i="18"/>
  <c r="G23" i="18" s="1"/>
  <c r="H89" i="1"/>
  <c r="G65" i="2" s="1"/>
  <c r="H94" i="1"/>
  <c r="K7" i="18"/>
  <c r="H3" i="18"/>
  <c r="H23" i="18" s="1"/>
  <c r="I94" i="1"/>
  <c r="I95" i="1" s="1"/>
  <c r="I89" i="1"/>
  <c r="H65" i="2" s="1"/>
  <c r="J15" i="13"/>
  <c r="K12" i="13" s="1"/>
  <c r="N109" i="22"/>
  <c r="AD109" i="22" s="1"/>
  <c r="AD100" i="22"/>
  <c r="V100" i="22"/>
  <c r="F109" i="22"/>
  <c r="V109" i="22" s="1"/>
  <c r="Z100" i="22"/>
  <c r="J109" i="22"/>
  <c r="Z109" i="22" s="1"/>
  <c r="X100" i="22"/>
  <c r="H109" i="22"/>
  <c r="X109" i="22" s="1"/>
  <c r="AB100" i="22"/>
  <c r="L109" i="22"/>
  <c r="AB109" i="22" s="1"/>
  <c r="D109" i="22"/>
  <c r="T109" i="22" s="1"/>
  <c r="T100" i="22"/>
  <c r="L58" i="21"/>
  <c r="K34" i="20"/>
  <c r="L59" i="21"/>
  <c r="K7" i="23" s="1"/>
  <c r="K32" i="20"/>
  <c r="H3" i="23"/>
  <c r="H23" i="23" s="1"/>
  <c r="I89" i="21"/>
  <c r="I94" i="21"/>
  <c r="K56" i="21"/>
  <c r="I20" i="20"/>
  <c r="I100" i="21"/>
  <c r="J7" i="14"/>
  <c r="F108" i="21"/>
  <c r="F109" i="21" s="1"/>
  <c r="J15" i="20"/>
  <c r="K12" i="20" s="1"/>
  <c r="J16" i="20"/>
  <c r="L57" i="21" s="1"/>
  <c r="K6" i="23" s="1"/>
  <c r="J18" i="20"/>
  <c r="J88" i="21"/>
  <c r="I5" i="23"/>
  <c r="K4" i="14"/>
  <c r="L30" i="20"/>
  <c r="M60" i="21"/>
  <c r="K35" i="20"/>
  <c r="G62" i="14"/>
  <c r="G63" i="14" s="1"/>
  <c r="K10" i="20"/>
  <c r="L3" i="20" s="1"/>
  <c r="J30" i="14"/>
  <c r="J32" i="14"/>
  <c r="J11" i="14"/>
  <c r="F111" i="21"/>
  <c r="F112" i="21" s="1"/>
  <c r="D24" i="23"/>
  <c r="K30" i="14"/>
  <c r="K32" i="14"/>
  <c r="K11" i="14"/>
  <c r="K14" i="14" s="1"/>
  <c r="H33" i="14"/>
  <c r="P5" i="14" l="1"/>
  <c r="P31" i="14" s="1"/>
  <c r="B23" i="13"/>
  <c r="AB6" i="18"/>
  <c r="AB7" i="18" s="1"/>
  <c r="AC5" i="18"/>
  <c r="K21" i="14"/>
  <c r="J12" i="12"/>
  <c r="I15" i="12"/>
  <c r="J34" i="12"/>
  <c r="I37" i="12"/>
  <c r="J45" i="12"/>
  <c r="I48" i="12"/>
  <c r="K88" i="1"/>
  <c r="J3" i="18" s="1"/>
  <c r="J23" i="18" s="1"/>
  <c r="M22" i="12"/>
  <c r="M24" i="12" s="1"/>
  <c r="N20" i="12"/>
  <c r="N22" i="12" s="1"/>
  <c r="N24" i="12" s="1"/>
  <c r="L23" i="12"/>
  <c r="N66" i="12"/>
  <c r="M67" i="12"/>
  <c r="L69" i="12"/>
  <c r="M19" i="14"/>
  <c r="N59" i="1"/>
  <c r="M35" i="13"/>
  <c r="J16" i="13"/>
  <c r="L57" i="1" s="1"/>
  <c r="K6" i="18" s="1"/>
  <c r="M18" i="14" s="1"/>
  <c r="H95" i="1"/>
  <c r="M37" i="13"/>
  <c r="N58" i="1"/>
  <c r="M33" i="13"/>
  <c r="L39" i="13"/>
  <c r="N60" i="1"/>
  <c r="K15" i="13"/>
  <c r="L12" i="13" s="1"/>
  <c r="H111" i="1"/>
  <c r="F24" i="18"/>
  <c r="F38" i="2"/>
  <c r="I6" i="18"/>
  <c r="J88" i="1"/>
  <c r="H98" i="1"/>
  <c r="K100" i="1"/>
  <c r="K106" i="1" s="1"/>
  <c r="H106" i="1"/>
  <c r="M58" i="21"/>
  <c r="L34" i="20"/>
  <c r="M59" i="21"/>
  <c r="L7" i="23" s="1"/>
  <c r="N19" i="14" s="1"/>
  <c r="L32" i="20"/>
  <c r="L35" i="20" s="1"/>
  <c r="L10" i="20"/>
  <c r="M3" i="20" s="1"/>
  <c r="L18" i="20"/>
  <c r="H46" i="14"/>
  <c r="G111" i="21"/>
  <c r="G112" i="21" s="1"/>
  <c r="E24" i="23"/>
  <c r="J14" i="14"/>
  <c r="K18" i="20"/>
  <c r="N60" i="21"/>
  <c r="M30" i="20"/>
  <c r="J100" i="21"/>
  <c r="J106" i="21" s="1"/>
  <c r="J108" i="21" s="1"/>
  <c r="J109" i="21" s="1"/>
  <c r="K7" i="14"/>
  <c r="K17" i="14" s="1"/>
  <c r="L56" i="21"/>
  <c r="J20" i="20"/>
  <c r="K15" i="20"/>
  <c r="L12" i="20" s="1"/>
  <c r="J17" i="14"/>
  <c r="J33" i="14" s="1"/>
  <c r="I95" i="21"/>
  <c r="I98" i="21"/>
  <c r="J97" i="21" s="1"/>
  <c r="I3" i="23"/>
  <c r="I23" i="23" s="1"/>
  <c r="J89" i="21"/>
  <c r="J94" i="21"/>
  <c r="J95" i="21" s="1"/>
  <c r="I106" i="21"/>
  <c r="J5" i="23"/>
  <c r="K88" i="21"/>
  <c r="L4" i="14"/>
  <c r="AC6" i="18" l="1"/>
  <c r="AC7" i="18" s="1"/>
  <c r="AD5" i="18"/>
  <c r="K12" i="12"/>
  <c r="J15" i="12"/>
  <c r="M23" i="12"/>
  <c r="L26" i="12"/>
  <c r="K34" i="12"/>
  <c r="J37" i="12"/>
  <c r="L21" i="14"/>
  <c r="K45" i="12"/>
  <c r="J48" i="12"/>
  <c r="K108" i="1"/>
  <c r="K109" i="1" s="1"/>
  <c r="K89" i="1"/>
  <c r="J65" i="2" s="1"/>
  <c r="K94" i="1"/>
  <c r="K95" i="1" s="1"/>
  <c r="M69" i="12"/>
  <c r="O66" i="12"/>
  <c r="O67" i="12" s="1"/>
  <c r="N67" i="12"/>
  <c r="N35" i="13"/>
  <c r="P59" i="1" s="1"/>
  <c r="O59" i="1"/>
  <c r="L88" i="1"/>
  <c r="K3" i="18" s="1"/>
  <c r="K23" i="18" s="1"/>
  <c r="K16" i="13"/>
  <c r="M57" i="1" s="1"/>
  <c r="M88" i="1" s="1"/>
  <c r="H108" i="1"/>
  <c r="H109" i="1" s="1"/>
  <c r="I3" i="18"/>
  <c r="I23" i="18" s="1"/>
  <c r="J89" i="1"/>
  <c r="I65" i="2" s="1"/>
  <c r="J94" i="1"/>
  <c r="N33" i="13"/>
  <c r="O60" i="1"/>
  <c r="M39" i="13"/>
  <c r="N37" i="13"/>
  <c r="P58" i="1" s="1"/>
  <c r="O58" i="1"/>
  <c r="I97" i="1"/>
  <c r="I98" i="1" s="1"/>
  <c r="G37" i="2"/>
  <c r="J100" i="1"/>
  <c r="K18" i="14"/>
  <c r="K33" i="14" s="1"/>
  <c r="K46" i="14" s="1"/>
  <c r="K62" i="14" s="1"/>
  <c r="L15" i="13"/>
  <c r="M12" i="13" s="1"/>
  <c r="M7" i="18"/>
  <c r="L100" i="1"/>
  <c r="L106" i="1" s="1"/>
  <c r="N58" i="21"/>
  <c r="M34" i="20"/>
  <c r="M32" i="20"/>
  <c r="N59" i="21"/>
  <c r="M7" i="23" s="1"/>
  <c r="J46" i="14"/>
  <c r="J62" i="14" s="1"/>
  <c r="J3" i="23"/>
  <c r="J23" i="23" s="1"/>
  <c r="K89" i="21"/>
  <c r="K94" i="21"/>
  <c r="K95" i="21" s="1"/>
  <c r="J98" i="21"/>
  <c r="K97" i="21" s="1"/>
  <c r="L30" i="14"/>
  <c r="L32" i="14"/>
  <c r="L11" i="14"/>
  <c r="L15" i="20"/>
  <c r="M12" i="20" s="1"/>
  <c r="M30" i="14"/>
  <c r="M32" i="14"/>
  <c r="M11" i="14"/>
  <c r="M14" i="14" s="1"/>
  <c r="O60" i="21"/>
  <c r="N30" i="20"/>
  <c r="M35" i="20"/>
  <c r="H111" i="21"/>
  <c r="H112" i="21" s="1"/>
  <c r="F24" i="23"/>
  <c r="H62" i="14"/>
  <c r="H63" i="14" s="1"/>
  <c r="I63" i="14" s="1"/>
  <c r="M10" i="20"/>
  <c r="N3" i="20" s="1"/>
  <c r="K100" i="21"/>
  <c r="L7" i="14"/>
  <c r="I108" i="21"/>
  <c r="I109" i="21" s="1"/>
  <c r="K16" i="20"/>
  <c r="M57" i="21" s="1"/>
  <c r="L6" i="23" s="1"/>
  <c r="K5" i="23"/>
  <c r="L88" i="21"/>
  <c r="M4" i="14"/>
  <c r="M56" i="21"/>
  <c r="K20" i="20"/>
  <c r="N56" i="21"/>
  <c r="L20" i="20"/>
  <c r="AD6" i="18" l="1"/>
  <c r="AD7" i="18" s="1"/>
  <c r="AE7" i="18" s="1"/>
  <c r="AF7" i="18" s="1"/>
  <c r="C12" i="18" s="1"/>
  <c r="AE5" i="18"/>
  <c r="AE6" i="18" s="1"/>
  <c r="J63" i="14"/>
  <c r="K63" i="14" s="1"/>
  <c r="L12" i="12"/>
  <c r="K15" i="12"/>
  <c r="M21" i="14"/>
  <c r="N23" i="12"/>
  <c r="N26" i="12" s="1"/>
  <c r="M26" i="12"/>
  <c r="L6" i="18"/>
  <c r="N18" i="14" s="1"/>
  <c r="H112" i="1"/>
  <c r="I111" i="1" s="1"/>
  <c r="I112" i="1" s="1"/>
  <c r="L45" i="12"/>
  <c r="K48" i="12"/>
  <c r="L34" i="12"/>
  <c r="K37" i="12"/>
  <c r="L108" i="1"/>
  <c r="L109" i="1" s="1"/>
  <c r="N69" i="12"/>
  <c r="L89" i="1"/>
  <c r="K65" i="2" s="1"/>
  <c r="O19" i="14"/>
  <c r="L94" i="1"/>
  <c r="L95" i="1" s="1"/>
  <c r="N7" i="18"/>
  <c r="M15" i="13"/>
  <c r="N12" i="13" s="1"/>
  <c r="J106" i="1"/>
  <c r="N39" i="13"/>
  <c r="P60" i="1"/>
  <c r="O7" i="18" s="1"/>
  <c r="L16" i="13"/>
  <c r="N57" i="1" s="1"/>
  <c r="H37" i="2"/>
  <c r="J97" i="1"/>
  <c r="J98" i="1" s="1"/>
  <c r="L3" i="18"/>
  <c r="M94" i="1"/>
  <c r="M95" i="1" s="1"/>
  <c r="M89" i="1"/>
  <c r="L65" i="2" s="1"/>
  <c r="J95" i="1"/>
  <c r="O58" i="21"/>
  <c r="N34" i="20"/>
  <c r="P58" i="21" s="1"/>
  <c r="O59" i="21"/>
  <c r="N7" i="23" s="1"/>
  <c r="N32" i="20"/>
  <c r="P59" i="21" s="1"/>
  <c r="K98" i="21"/>
  <c r="L97" i="21" s="1"/>
  <c r="O4" i="14"/>
  <c r="M5" i="23"/>
  <c r="K3" i="23"/>
  <c r="K23" i="23" s="1"/>
  <c r="L89" i="21"/>
  <c r="L94" i="21"/>
  <c r="K106" i="21"/>
  <c r="M18" i="20"/>
  <c r="P60" i="21"/>
  <c r="O7" i="23" s="1"/>
  <c r="L16" i="20"/>
  <c r="N57" i="21" s="1"/>
  <c r="M6" i="23" s="1"/>
  <c r="L14" i="14"/>
  <c r="O30" i="14"/>
  <c r="O32" i="14"/>
  <c r="O11" i="14"/>
  <c r="O14" i="14" s="1"/>
  <c r="M88" i="21"/>
  <c r="L5" i="23"/>
  <c r="N4" i="14"/>
  <c r="L100" i="21"/>
  <c r="L106" i="21" s="1"/>
  <c r="L108" i="21" s="1"/>
  <c r="L109" i="21" s="1"/>
  <c r="M7" i="14"/>
  <c r="M17" i="14" s="1"/>
  <c r="M33" i="14" s="1"/>
  <c r="M46" i="14" s="1"/>
  <c r="M62" i="14" s="1"/>
  <c r="L17" i="14"/>
  <c r="L33" i="14" s="1"/>
  <c r="N18" i="20"/>
  <c r="N10" i="20"/>
  <c r="I111" i="21"/>
  <c r="I112" i="21" s="1"/>
  <c r="G24" i="23"/>
  <c r="M15" i="20"/>
  <c r="N12" i="20" s="1"/>
  <c r="N21" i="14" l="1"/>
  <c r="M12" i="12"/>
  <c r="L15" i="12"/>
  <c r="L23" i="18"/>
  <c r="M100" i="1"/>
  <c r="M106" i="1" s="1"/>
  <c r="M108" i="1" s="1"/>
  <c r="M109" i="1" s="1"/>
  <c r="P19" i="14"/>
  <c r="G38" i="2"/>
  <c r="M45" i="12"/>
  <c r="L48" i="12"/>
  <c r="G24" i="18"/>
  <c r="M34" i="12"/>
  <c r="L37" i="12"/>
  <c r="O69" i="12"/>
  <c r="A67" i="12" s="1"/>
  <c r="C16" i="18" s="1"/>
  <c r="B7" i="18"/>
  <c r="H24" i="18"/>
  <c r="J111" i="1"/>
  <c r="H38" i="2"/>
  <c r="N15" i="13"/>
  <c r="N16" i="13" s="1"/>
  <c r="K97" i="1"/>
  <c r="K98" i="1" s="1"/>
  <c r="I37" i="2"/>
  <c r="M6" i="18"/>
  <c r="N88" i="1"/>
  <c r="J108" i="1"/>
  <c r="J109" i="1" s="1"/>
  <c r="M16" i="13"/>
  <c r="O57" i="1" s="1"/>
  <c r="N35" i="20"/>
  <c r="L98" i="21"/>
  <c r="M97" i="21" s="1"/>
  <c r="N15" i="20"/>
  <c r="N16" i="20" s="1"/>
  <c r="P56" i="21"/>
  <c r="N20" i="20"/>
  <c r="B18" i="20"/>
  <c r="L46" i="14"/>
  <c r="L3" i="23"/>
  <c r="L23" i="23" s="1"/>
  <c r="M89" i="21"/>
  <c r="M94" i="21"/>
  <c r="M95" i="21" s="1"/>
  <c r="Q19" i="14"/>
  <c r="B7" i="23"/>
  <c r="L95" i="21"/>
  <c r="N30" i="14"/>
  <c r="N32" i="14"/>
  <c r="N11" i="14"/>
  <c r="M16" i="20"/>
  <c r="O57" i="21" s="1"/>
  <c r="N6" i="23" s="1"/>
  <c r="J111" i="21"/>
  <c r="J112" i="21" s="1"/>
  <c r="H24" i="23"/>
  <c r="M100" i="21"/>
  <c r="M106" i="21" s="1"/>
  <c r="M108" i="21" s="1"/>
  <c r="M109" i="21" s="1"/>
  <c r="N7" i="14"/>
  <c r="N17" i="14" s="1"/>
  <c r="O56" i="21"/>
  <c r="M20" i="20"/>
  <c r="K108" i="21"/>
  <c r="K109" i="21" s="1"/>
  <c r="N100" i="21"/>
  <c r="N106" i="21" s="1"/>
  <c r="O7" i="14"/>
  <c r="O17" i="14" s="1"/>
  <c r="N88" i="21"/>
  <c r="B19" i="14" l="1"/>
  <c r="N12" i="12"/>
  <c r="N15" i="12" s="1"/>
  <c r="M15" i="12"/>
  <c r="O21" i="14"/>
  <c r="N45" i="12"/>
  <c r="N48" i="12" s="1"/>
  <c r="M48" i="12"/>
  <c r="N34" i="12"/>
  <c r="N37" i="12" s="1"/>
  <c r="M37" i="12"/>
  <c r="P57" i="1"/>
  <c r="B16" i="13"/>
  <c r="M3" i="18"/>
  <c r="N94" i="1"/>
  <c r="N89" i="1"/>
  <c r="M65" i="2" s="1"/>
  <c r="N33" i="14"/>
  <c r="N6" i="18"/>
  <c r="O88" i="1"/>
  <c r="M23" i="18"/>
  <c r="N100" i="1"/>
  <c r="J37" i="2"/>
  <c r="L97" i="1"/>
  <c r="L98" i="1" s="1"/>
  <c r="J112" i="1"/>
  <c r="O18" i="14"/>
  <c r="O33" i="14" s="1"/>
  <c r="O46" i="14" s="1"/>
  <c r="O62" i="14" s="1"/>
  <c r="M98" i="21"/>
  <c r="N97" i="21" s="1"/>
  <c r="P57" i="21"/>
  <c r="O6" i="23" s="1"/>
  <c r="B16" i="20"/>
  <c r="M3" i="23"/>
  <c r="M23" i="23" s="1"/>
  <c r="N89" i="21"/>
  <c r="N94" i="21"/>
  <c r="P30" i="14"/>
  <c r="P32" i="14"/>
  <c r="P11" i="14"/>
  <c r="P14" i="14" s="1"/>
  <c r="N108" i="21"/>
  <c r="N109" i="21" s="1"/>
  <c r="O88" i="21"/>
  <c r="N5" i="23"/>
  <c r="P4" i="14"/>
  <c r="I24" i="23"/>
  <c r="K111" i="21"/>
  <c r="K112" i="21" s="1"/>
  <c r="N14" i="14"/>
  <c r="E19" i="14"/>
  <c r="L62" i="14"/>
  <c r="L63" i="14" s="1"/>
  <c r="M63" i="14" s="1"/>
  <c r="B20" i="20"/>
  <c r="B21" i="20" s="1"/>
  <c r="O5" i="23"/>
  <c r="Q4" i="14"/>
  <c r="P88" i="21"/>
  <c r="O23" i="13" l="1"/>
  <c r="O20" i="13"/>
  <c r="B24" i="13"/>
  <c r="P21" i="14"/>
  <c r="Q21" i="14"/>
  <c r="N98" i="21"/>
  <c r="O97" i="21" s="1"/>
  <c r="N46" i="14"/>
  <c r="N62" i="14" s="1"/>
  <c r="N63" i="14" s="1"/>
  <c r="O63" i="14" s="1"/>
  <c r="K111" i="1"/>
  <c r="K112" i="1" s="1"/>
  <c r="I24" i="18"/>
  <c r="I38" i="2"/>
  <c r="O100" i="1"/>
  <c r="O106" i="1" s="1"/>
  <c r="O108" i="1" s="1"/>
  <c r="O109" i="1" s="1"/>
  <c r="P8" i="13"/>
  <c r="P7" i="13"/>
  <c r="D3" i="14"/>
  <c r="D58" i="14" s="1"/>
  <c r="M97" i="1"/>
  <c r="M98" i="1" s="1"/>
  <c r="K37" i="2"/>
  <c r="N106" i="1"/>
  <c r="N3" i="18"/>
  <c r="N23" i="18" s="1"/>
  <c r="O89" i="1"/>
  <c r="N65" i="2" s="1"/>
  <c r="O94" i="1"/>
  <c r="O95" i="1" s="1"/>
  <c r="P18" i="14"/>
  <c r="N95" i="1"/>
  <c r="O6" i="18"/>
  <c r="P88" i="1"/>
  <c r="O3" i="23"/>
  <c r="P89" i="21"/>
  <c r="P94" i="21"/>
  <c r="P95" i="21" s="1"/>
  <c r="Q88" i="21"/>
  <c r="Q89" i="21" s="1"/>
  <c r="Q7" i="14"/>
  <c r="P100" i="21"/>
  <c r="O23" i="23"/>
  <c r="B5" i="23"/>
  <c r="O100" i="21"/>
  <c r="O106" i="21" s="1"/>
  <c r="P7" i="14"/>
  <c r="P17" i="14" s="1"/>
  <c r="P7" i="20"/>
  <c r="P8" i="20"/>
  <c r="B31" i="14"/>
  <c r="Q30" i="14"/>
  <c r="B30" i="14" s="1"/>
  <c r="Q32" i="14"/>
  <c r="B32" i="14" s="1"/>
  <c r="Q11" i="14"/>
  <c r="B5" i="14"/>
  <c r="C58" i="14" s="1"/>
  <c r="J24" i="23"/>
  <c r="L111" i="21"/>
  <c r="L112" i="21" s="1"/>
  <c r="N3" i="23"/>
  <c r="N23" i="23" s="1"/>
  <c r="O89" i="21"/>
  <c r="O94" i="21"/>
  <c r="O95" i="21" s="1"/>
  <c r="N95" i="21"/>
  <c r="Q94" i="21"/>
  <c r="Q95" i="21" s="1"/>
  <c r="B21" i="14" l="1"/>
  <c r="E21" i="14" s="1"/>
  <c r="C54" i="14"/>
  <c r="D54" i="14"/>
  <c r="C52" i="14"/>
  <c r="C59" i="14"/>
  <c r="D52" i="14"/>
  <c r="D59" i="14"/>
  <c r="C57" i="14"/>
  <c r="C55" i="14"/>
  <c r="C56" i="14"/>
  <c r="D55" i="14"/>
  <c r="D57" i="14"/>
  <c r="D56" i="14"/>
  <c r="C51" i="14"/>
  <c r="D19" i="14"/>
  <c r="D51" i="14"/>
  <c r="C4" i="18"/>
  <c r="D25" i="14"/>
  <c r="D27" i="14"/>
  <c r="D12" i="14"/>
  <c r="D20" i="14"/>
  <c r="D29" i="14"/>
  <c r="D39" i="14"/>
  <c r="D43" i="14"/>
  <c r="D42" i="14"/>
  <c r="D37" i="14"/>
  <c r="D49" i="14"/>
  <c r="C5" i="18"/>
  <c r="R17" i="14" s="1"/>
  <c r="D23" i="14"/>
  <c r="D24" i="14"/>
  <c r="D26" i="14"/>
  <c r="D28" i="14"/>
  <c r="D13" i="14"/>
  <c r="D22" i="14"/>
  <c r="D36" i="14"/>
  <c r="D41" i="14"/>
  <c r="D44" i="14"/>
  <c r="D40" i="14"/>
  <c r="D50" i="14"/>
  <c r="D38" i="14"/>
  <c r="P100" i="1"/>
  <c r="B6" i="18"/>
  <c r="Q18" i="14"/>
  <c r="B18" i="14" s="1"/>
  <c r="P33" i="14"/>
  <c r="P46" i="14" s="1"/>
  <c r="P62" i="14" s="1"/>
  <c r="P63" i="14" s="1"/>
  <c r="O3" i="18"/>
  <c r="O23" i="18" s="1"/>
  <c r="P89" i="1"/>
  <c r="O65" i="2" s="1"/>
  <c r="P94" i="1"/>
  <c r="Q88" i="1"/>
  <c r="Q89" i="1" s="1"/>
  <c r="N108" i="1"/>
  <c r="N109" i="1" s="1"/>
  <c r="L37" i="2"/>
  <c r="N97" i="1"/>
  <c r="N98" i="1" s="1"/>
  <c r="L111" i="1"/>
  <c r="L112" i="1" s="1"/>
  <c r="J38" i="2"/>
  <c r="J24" i="18"/>
  <c r="K24" i="23"/>
  <c r="M111" i="21"/>
  <c r="M112" i="21" s="1"/>
  <c r="Q14" i="14"/>
  <c r="B14" i="14" s="1"/>
  <c r="B11" i="14"/>
  <c r="D30" i="14"/>
  <c r="C30" i="14"/>
  <c r="E30" i="14"/>
  <c r="P106" i="21"/>
  <c r="P108" i="21" s="1"/>
  <c r="P109" i="21" s="1"/>
  <c r="Q100" i="21"/>
  <c r="C38" i="14"/>
  <c r="D5" i="14"/>
  <c r="C44" i="14"/>
  <c r="C43" i="14"/>
  <c r="C41" i="14"/>
  <c r="C39" i="14"/>
  <c r="C36" i="14"/>
  <c r="C29" i="14"/>
  <c r="C22" i="14"/>
  <c r="C20" i="14"/>
  <c r="C13" i="14"/>
  <c r="C50" i="14"/>
  <c r="C49" i="14"/>
  <c r="C42" i="14"/>
  <c r="C40" i="14"/>
  <c r="C37" i="14"/>
  <c r="C21" i="14"/>
  <c r="C12" i="14"/>
  <c r="C28" i="14"/>
  <c r="E5" i="14"/>
  <c r="C27" i="14"/>
  <c r="C26" i="14"/>
  <c r="C24" i="14"/>
  <c r="C25" i="14"/>
  <c r="C23" i="14"/>
  <c r="C19" i="14"/>
  <c r="D32" i="14"/>
  <c r="C32" i="14"/>
  <c r="E32" i="14"/>
  <c r="C31" i="14"/>
  <c r="D31" i="14"/>
  <c r="E31" i="14"/>
  <c r="O108" i="21"/>
  <c r="O109" i="21" s="1"/>
  <c r="Q106" i="21"/>
  <c r="Q108" i="21" s="1"/>
  <c r="Q109" i="21" s="1"/>
  <c r="O98" i="21"/>
  <c r="P97" i="21" s="1"/>
  <c r="P98" i="21" s="1"/>
  <c r="Q17" i="14"/>
  <c r="B7" i="14"/>
  <c r="D7" i="14" s="1"/>
  <c r="D21" i="14" l="1"/>
  <c r="O97" i="1"/>
  <c r="O98" i="1" s="1"/>
  <c r="M37" i="2"/>
  <c r="D18" i="14"/>
  <c r="E18" i="14"/>
  <c r="M111" i="1"/>
  <c r="M112" i="1" s="1"/>
  <c r="K38" i="2"/>
  <c r="K24" i="18"/>
  <c r="P95" i="1"/>
  <c r="Q94" i="1"/>
  <c r="Q95" i="1" s="1"/>
  <c r="C18" i="14"/>
  <c r="P106" i="1"/>
  <c r="Q100" i="1"/>
  <c r="Q33" i="14"/>
  <c r="B17" i="14"/>
  <c r="C11" i="14"/>
  <c r="D11" i="14"/>
  <c r="E11" i="14"/>
  <c r="L24" i="23"/>
  <c r="N111" i="21"/>
  <c r="N112" i="21" s="1"/>
  <c r="D14" i="14"/>
  <c r="C14" i="14"/>
  <c r="E14" i="14"/>
  <c r="P108" i="1" l="1"/>
  <c r="P109" i="1" s="1"/>
  <c r="Q106" i="1"/>
  <c r="Q108" i="1" s="1"/>
  <c r="Q109" i="1" s="1"/>
  <c r="N111" i="1"/>
  <c r="N112" i="1" s="1"/>
  <c r="L38" i="2"/>
  <c r="L24" i="18"/>
  <c r="P97" i="1"/>
  <c r="P98" i="1" s="1"/>
  <c r="O37" i="2" s="1"/>
  <c r="N37" i="2"/>
  <c r="M24" i="23"/>
  <c r="O111" i="21"/>
  <c r="O112" i="21" s="1"/>
  <c r="Q46" i="14"/>
  <c r="B33" i="14"/>
  <c r="C17" i="14"/>
  <c r="D17" i="14"/>
  <c r="E17" i="14"/>
  <c r="M24" i="18" l="1"/>
  <c r="M38" i="2"/>
  <c r="O111" i="1"/>
  <c r="O112" i="1" s="1"/>
  <c r="D33" i="14"/>
  <c r="C33" i="14"/>
  <c r="C45" i="14" s="1"/>
  <c r="E33" i="14"/>
  <c r="P111" i="21"/>
  <c r="P112" i="21" s="1"/>
  <c r="O24" i="23" s="1"/>
  <c r="N24" i="23"/>
  <c r="B46" i="14"/>
  <c r="P111" i="1" l="1"/>
  <c r="P112" i="1" s="1"/>
  <c r="N38" i="2"/>
  <c r="N24" i="18"/>
  <c r="E46" i="14"/>
  <c r="D46" i="14"/>
  <c r="C46" i="14"/>
  <c r="O24" i="18" l="1"/>
  <c r="O38" i="2"/>
  <c r="B60" i="14" l="1"/>
  <c r="Q62" i="14"/>
  <c r="Q63" i="14" l="1"/>
  <c r="B62" i="14"/>
  <c r="E60" i="14"/>
  <c r="C60" i="14"/>
  <c r="D60" i="14"/>
  <c r="C62" i="14" l="1"/>
  <c r="D62" i="14"/>
  <c r="E6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Collett</author>
  </authors>
  <commentList>
    <comment ref="L28" authorId="0" shapeId="0" xr:uid="{C814EB64-6112-4C38-9710-73DB85204757}">
      <text>
        <r>
          <rPr>
            <b/>
            <sz val="9"/>
            <color indexed="81"/>
            <rFont val="Tahoma"/>
            <family val="2"/>
          </rPr>
          <t>Lloyd Collett:</t>
        </r>
        <r>
          <rPr>
            <sz val="9"/>
            <color indexed="81"/>
            <rFont val="Tahoma"/>
            <family val="2"/>
          </rPr>
          <t xml:space="preserve">
Gypsum
</t>
        </r>
      </text>
    </comment>
  </commentList>
</comments>
</file>

<file path=xl/sharedStrings.xml><?xml version="1.0" encoding="utf-8"?>
<sst xmlns="http://schemas.openxmlformats.org/spreadsheetml/2006/main" count="1583" uniqueCount="587">
  <si>
    <t>Total</t>
  </si>
  <si>
    <t>Month</t>
  </si>
  <si>
    <t>Jul</t>
  </si>
  <si>
    <t>Aug</t>
  </si>
  <si>
    <t>Sep</t>
  </si>
  <si>
    <t>Oct</t>
  </si>
  <si>
    <t>Nov</t>
  </si>
  <si>
    <t>Dec</t>
  </si>
  <si>
    <t>Jan</t>
  </si>
  <si>
    <t>Feb</t>
  </si>
  <si>
    <t>Mar</t>
  </si>
  <si>
    <t>Apr</t>
  </si>
  <si>
    <t>May</t>
  </si>
  <si>
    <t>Jun</t>
  </si>
  <si>
    <t>Grain</t>
  </si>
  <si>
    <t>Nitrogen</t>
  </si>
  <si>
    <t>Number</t>
  </si>
  <si>
    <t>Intake/hd/day</t>
  </si>
  <si>
    <t>Days per Period</t>
  </si>
  <si>
    <t>Dry Cows</t>
  </si>
  <si>
    <t>Weighted Average</t>
  </si>
  <si>
    <t>kgDM/ha/day</t>
  </si>
  <si>
    <t>ha</t>
  </si>
  <si>
    <t xml:space="preserve">KgDM </t>
  </si>
  <si>
    <t>kgDM/month</t>
  </si>
  <si>
    <t xml:space="preserve">Total Requirement  </t>
  </si>
  <si>
    <t>t DM/ha</t>
  </si>
  <si>
    <t>Opening Balance</t>
  </si>
  <si>
    <t>Total Pasture Growth</t>
  </si>
  <si>
    <t>SURPLUS/DEFICIT - NO SUPPLEMENTS</t>
  </si>
  <si>
    <t>SURPLUS/DEFICIT - WITH SUPPLEMENTS</t>
  </si>
  <si>
    <t xml:space="preserve">Supplements </t>
  </si>
  <si>
    <t>Closing Balance</t>
  </si>
  <si>
    <t>Effective Area</t>
  </si>
  <si>
    <t>Average</t>
  </si>
  <si>
    <t>Effective area x growth rate x days</t>
  </si>
  <si>
    <t>PASTURE COVER - NO SUPPLEMENTS</t>
  </si>
  <si>
    <t>PASTURE COVER - WITH SUPPLEMENTS</t>
  </si>
  <si>
    <t>Bulls (12-24 mth)</t>
  </si>
  <si>
    <t>Bulls (Mature)</t>
  </si>
  <si>
    <t>kg</t>
  </si>
  <si>
    <t>%</t>
  </si>
  <si>
    <t>Bull calves</t>
  </si>
  <si>
    <t>mm</t>
  </si>
  <si>
    <t>DSE/ha</t>
  </si>
  <si>
    <t>Paddock name</t>
  </si>
  <si>
    <t>Fodder type</t>
  </si>
  <si>
    <t>kgDM/ha</t>
  </si>
  <si>
    <t>area</t>
  </si>
  <si>
    <t>Starting cover (kg DM/ha)</t>
  </si>
  <si>
    <t>Residual cover (kg DM/ha)</t>
  </si>
  <si>
    <t>DM available (kg DM/ha)</t>
  </si>
  <si>
    <t>total DM available</t>
  </si>
  <si>
    <t>Animal class</t>
  </si>
  <si>
    <t>Maintenance (kg DM/hd/day)</t>
  </si>
  <si>
    <t>Pregnancy (kg DM/hd/day)</t>
  </si>
  <si>
    <t>Lactation (kg DM/hd/day)</t>
  </si>
  <si>
    <t>Liveweight gain (kg DM/hd/day)</t>
  </si>
  <si>
    <t>No animals</t>
  </si>
  <si>
    <t>Total DM requirements/mob/day</t>
  </si>
  <si>
    <t>No days feed available</t>
  </si>
  <si>
    <t>Feed available</t>
  </si>
  <si>
    <t>Animal requirements</t>
  </si>
  <si>
    <t>graveyard</t>
  </si>
  <si>
    <t>ewes with lambs</t>
  </si>
  <si>
    <t>ewes</t>
  </si>
  <si>
    <t>pea straw</t>
  </si>
  <si>
    <t>TOTAL</t>
  </si>
  <si>
    <t>Brassica (dryland)</t>
  </si>
  <si>
    <t>Growth Rates Actual (where growth rates have been measured on-farm)</t>
  </si>
  <si>
    <t>Irrigated</t>
  </si>
  <si>
    <t>improved</t>
  </si>
  <si>
    <t>semi improved</t>
  </si>
  <si>
    <t>run</t>
  </si>
  <si>
    <t>total DM produced</t>
  </si>
  <si>
    <t>total DM utilised</t>
  </si>
  <si>
    <t>Copyright</t>
  </si>
  <si>
    <t>Area (ha)</t>
  </si>
  <si>
    <t>Crop &amp; fodder types - summary of areas</t>
  </si>
  <si>
    <t>Total area</t>
  </si>
  <si>
    <t>Paddock planner</t>
  </si>
  <si>
    <t>Effective area</t>
  </si>
  <si>
    <t>Animal Demand</t>
  </si>
  <si>
    <t>Animal numbers</t>
  </si>
  <si>
    <t>Feed Supply</t>
  </si>
  <si>
    <t>Feed Status - summary</t>
  </si>
  <si>
    <t>Silage / hay</t>
  </si>
  <si>
    <t>kg DM</t>
  </si>
  <si>
    <t>number</t>
  </si>
  <si>
    <t>% DM</t>
  </si>
  <si>
    <t>Expected yield</t>
  </si>
  <si>
    <t>Trail</t>
  </si>
  <si>
    <t>Area</t>
  </si>
  <si>
    <t>Feed efficiency*</t>
  </si>
  <si>
    <t>oats</t>
  </si>
  <si>
    <t>Lick feeder</t>
  </si>
  <si>
    <t>Feed ring</t>
  </si>
  <si>
    <t>Trough</t>
  </si>
  <si>
    <t>* Feed efficiency rules of thumb (%)</t>
  </si>
  <si>
    <t>Set stock</t>
  </si>
  <si>
    <t>Strip feed</t>
  </si>
  <si>
    <t>Forage crop</t>
  </si>
  <si>
    <t>APC with supplements</t>
  </si>
  <si>
    <t>calculated utilisation</t>
  </si>
  <si>
    <t>Pasture type</t>
  </si>
  <si>
    <t>% grown per month</t>
  </si>
  <si>
    <t>total kg DM grown per mth</t>
  </si>
  <si>
    <t>Set Up</t>
  </si>
  <si>
    <t>Property name:</t>
  </si>
  <si>
    <t>Rainfall:</t>
  </si>
  <si>
    <t>Adoption of best practice grazing to maximise growth rates:</t>
  </si>
  <si>
    <t>Amount of irrigation water applied to pastures (1ML = 100mm):</t>
  </si>
  <si>
    <t>Crop type:</t>
  </si>
  <si>
    <t>t DM/100mm rainfall</t>
  </si>
  <si>
    <t>Purpose of the Feed Budget Tool</t>
  </si>
  <si>
    <t>The primary purpose of Macquarie Franklin's Feed Budget Tool is to enable planning ahead to ensure that animal demands can be matched by feed supply.</t>
  </si>
  <si>
    <t>The Feed Budget Tool allows for over-supply and under-supply periods to be identified and addressed by providing an opportunity for proactive management.</t>
  </si>
  <si>
    <t>It is intended as a tool to aid in the implementation of the Pasture Principles training program and training in its use will be provided as part of the Pasture Principles program.</t>
  </si>
  <si>
    <t>Other aspects of the Feed Budget Tool enable individual paddock feed budgeting and calculation of supplementary feed requirements, but the key aspect is the Feed Profile Tool and related tools.</t>
  </si>
  <si>
    <t>There is some work involved in setting up the Feed Budget Tool for your farm, but once this is done, it is quick and easy to keep updated. If you have more than one property, we suggest setting up individual Feed Budget Tools for each property.</t>
  </si>
  <si>
    <t>It is recommended to update the Feed Budget Tool on a monthly basis. The key thing is to check the predicted average pasture cover against measured average pasture cover. They should be within 100-200 kg DM of each other.</t>
  </si>
  <si>
    <t>If they are different, you need to explore why - are the pasture growth rates higher or lower than predicted? Are the animal numbers and requirements correct? Are the paddock rotations correct?</t>
  </si>
  <si>
    <t>Effective Area Tool</t>
  </si>
  <si>
    <t>Start using the Feed Budget Tool with the Effective Area Tool.</t>
  </si>
  <si>
    <t>This tool is designed to enable planning of the rotation by paddock, which gives a simple summary of the area under the various pasture types and fodder crops.</t>
  </si>
  <si>
    <t>Completing this tool enables the effective area section of the Feed Profile Tool to be automatically completed.</t>
  </si>
  <si>
    <r>
      <t>1.</t>
    </r>
    <r>
      <rPr>
        <sz val="7"/>
        <rFont val="Times New Roman"/>
        <family val="1"/>
      </rPr>
      <t xml:space="preserve">      </t>
    </r>
    <r>
      <rPr>
        <sz val="11"/>
        <rFont val="Calibri"/>
        <family val="2"/>
      </rPr>
      <t xml:space="preserve">Complete the list of paddock names and areas (ha) </t>
    </r>
    <r>
      <rPr>
        <b/>
        <sz val="11"/>
        <rFont val="Calibri"/>
        <family val="2"/>
      </rPr>
      <t>(Paddock Planner)</t>
    </r>
  </si>
  <si>
    <r>
      <t>2.</t>
    </r>
    <r>
      <rPr>
        <sz val="7"/>
        <rFont val="Times New Roman"/>
        <family val="1"/>
      </rPr>
      <t xml:space="preserve">      </t>
    </r>
    <r>
      <rPr>
        <sz val="11"/>
        <rFont val="Calibri"/>
        <family val="2"/>
      </rPr>
      <t xml:space="preserve">For each paddock, use the drop down menu to select the crop type in each month. If your crop is not on the list, do not type the crop name in - select one from the list which </t>
    </r>
  </si>
  <si>
    <t>Fallow or Lock-up are options to use if the crop (e.g. a newly sown pasture or brassica) is not available for grazing (i.e. only enter as a pasture or fodder crop if it is available as feed during that month).</t>
  </si>
  <si>
    <r>
      <t>3.</t>
    </r>
    <r>
      <rPr>
        <sz val="7"/>
        <rFont val="Times New Roman"/>
        <family val="1"/>
      </rPr>
      <t xml:space="preserve">      </t>
    </r>
    <r>
      <rPr>
        <b/>
        <sz val="11"/>
        <rFont val="Calibri"/>
        <family val="2"/>
      </rPr>
      <t>Crop &amp; fodder types - summary of areas</t>
    </r>
    <r>
      <rPr>
        <sz val="11"/>
        <rFont val="Calibri"/>
        <family val="2"/>
      </rPr>
      <t xml:space="preserve"> will automatically calculate the areas of each fodder type, once you have entered them into the paddock planner.</t>
    </r>
  </si>
  <si>
    <t xml:space="preserve">  This then automatically copies across to the effective area section of the Feed Profile Tool. This table cannot be edited.</t>
  </si>
  <si>
    <t>Feed Profile Tool</t>
  </si>
  <si>
    <t>Rainfall &amp; irrigation</t>
  </si>
  <si>
    <t>Enter the extent to which you use best practice grazing management principles in managing your fodder (i.e. 100% means that your rotations are strictly managed according to LER;</t>
  </si>
  <si>
    <t>any deviation from best practice grazing management should result in a discount from 100%).</t>
  </si>
  <si>
    <r>
      <t>1.</t>
    </r>
    <r>
      <rPr>
        <b/>
        <sz val="7"/>
        <rFont val="Times New Roman"/>
        <family val="1"/>
      </rPr>
      <t xml:space="preserve">      </t>
    </r>
    <r>
      <rPr>
        <b/>
        <sz val="11"/>
        <rFont val="Calibri"/>
        <family val="2"/>
      </rPr>
      <t>Effective area</t>
    </r>
  </si>
  <si>
    <t xml:space="preserve">The only way to complete this section of the Feed Profile Tool is to complete the Effective Area Tool (as outlined above). Once the Effective Area Tool is set up for your farm, </t>
  </si>
  <si>
    <t>it is a simple matter to edit the crops and rotations as the year progresses, and the effective area section of the Feed Profile Tool will automatically update.</t>
  </si>
  <si>
    <r>
      <t>2.</t>
    </r>
    <r>
      <rPr>
        <b/>
        <sz val="7"/>
        <rFont val="Times New Roman"/>
        <family val="1"/>
      </rPr>
      <t xml:space="preserve">      </t>
    </r>
    <r>
      <rPr>
        <b/>
        <sz val="11"/>
        <rFont val="Calibri"/>
        <family val="2"/>
      </rPr>
      <t>Feed supply</t>
    </r>
  </si>
  <si>
    <t>There are three sections to the feed supply section of the Feed Profile Tool.</t>
  </si>
  <si>
    <r>
      <t>a.</t>
    </r>
    <r>
      <rPr>
        <b/>
        <sz val="7"/>
        <rFont val="Times New Roman"/>
        <family val="1"/>
      </rPr>
      <t xml:space="preserve">      </t>
    </r>
    <r>
      <rPr>
        <b/>
        <sz val="11"/>
        <rFont val="Calibri"/>
        <family val="2"/>
      </rPr>
      <t xml:space="preserve"> Growth rates modelled</t>
    </r>
    <r>
      <rPr>
        <sz val="11"/>
        <rFont val="Calibri"/>
        <family val="2"/>
      </rPr>
      <t xml:space="preserve"> (where growth rates have NOT been measured on-farm). These growth rates are estimated based on the rainfall, irrigation and adoption of best practice grazing management principles.</t>
    </r>
  </si>
  <si>
    <r>
      <t>b.</t>
    </r>
    <r>
      <rPr>
        <b/>
        <sz val="7"/>
        <rFont val="Times New Roman"/>
        <family val="1"/>
      </rPr>
      <t xml:space="preserve">     </t>
    </r>
    <r>
      <rPr>
        <b/>
        <sz val="11"/>
        <rFont val="Calibri"/>
        <family val="2"/>
      </rPr>
      <t xml:space="preserve"> Growth rates actual</t>
    </r>
    <r>
      <rPr>
        <sz val="11"/>
        <rFont val="Calibri"/>
        <family val="2"/>
      </rPr>
      <t xml:space="preserve"> (where growth rates have been measured on-farm). If you measure any growth rates, then you should enter them here. This will over-ride any modelled growth rates for that pasture or crop in that month.</t>
    </r>
  </si>
  <si>
    <r>
      <t>c.</t>
    </r>
    <r>
      <rPr>
        <b/>
        <sz val="7"/>
        <rFont val="Times New Roman"/>
        <family val="1"/>
      </rPr>
      <t xml:space="preserve">      </t>
    </r>
    <r>
      <rPr>
        <b/>
        <sz val="11"/>
        <rFont val="Calibri"/>
        <family val="2"/>
      </rPr>
      <t xml:space="preserve"> Total pasture growth.</t>
    </r>
    <r>
      <rPr>
        <sz val="11"/>
        <rFont val="Calibri"/>
        <family val="2"/>
      </rPr>
      <t xml:space="preserve"> Calculates the total pasture grown, based on effective area, growth rates and number of days.</t>
    </r>
  </si>
  <si>
    <t xml:space="preserve">Unless you have been measuring growth rates for any of your pastures or fodder crops, or you wish to adjust the growth rates which have been calculated based on your rainfall and irrigation, then you will not need </t>
  </si>
  <si>
    <r>
      <t>3.</t>
    </r>
    <r>
      <rPr>
        <b/>
        <sz val="7"/>
        <rFont val="Times New Roman"/>
        <family val="1"/>
      </rPr>
      <t xml:space="preserve">      </t>
    </r>
    <r>
      <rPr>
        <b/>
        <sz val="11"/>
        <rFont val="Calibri"/>
        <family val="2"/>
      </rPr>
      <t>Feed demand</t>
    </r>
  </si>
  <si>
    <t>There are two sections to the feed demand section of the Feed Profile Tool.</t>
  </si>
  <si>
    <r>
      <t>a.</t>
    </r>
    <r>
      <rPr>
        <b/>
        <sz val="7"/>
        <rFont val="Times New Roman"/>
        <family val="1"/>
      </rPr>
      <t xml:space="preserve">      </t>
    </r>
    <r>
      <rPr>
        <b/>
        <sz val="11"/>
        <rFont val="Calibri"/>
        <family val="2"/>
      </rPr>
      <t xml:space="preserve"> Animal Numbers</t>
    </r>
  </si>
  <si>
    <r>
      <t>b.</t>
    </r>
    <r>
      <rPr>
        <b/>
        <sz val="7"/>
        <rFont val="Times New Roman"/>
        <family val="1"/>
      </rPr>
      <t xml:space="preserve">      </t>
    </r>
    <r>
      <rPr>
        <b/>
        <sz val="11"/>
        <rFont val="Calibri"/>
        <family val="2"/>
      </rPr>
      <t xml:space="preserve"> Animal Requirements</t>
    </r>
  </si>
  <si>
    <r>
      <t xml:space="preserve">In the </t>
    </r>
    <r>
      <rPr>
        <b/>
        <sz val="11"/>
        <rFont val="Calibri"/>
        <family val="2"/>
      </rPr>
      <t>animal numbers</t>
    </r>
    <r>
      <rPr>
        <sz val="11"/>
        <rFont val="Calibri"/>
        <family val="2"/>
      </rPr>
      <t xml:space="preserve"> section, enter the numbers of animals associated with each class of stock in each month.</t>
    </r>
  </si>
  <si>
    <t>For example, in the months of lambing ewes, animal numbers will shift so that there are no dry ewes and all the ewes are in the ewes and lambs class. After weaning they move back to be counted as dry ewes.</t>
  </si>
  <si>
    <t>Once you have entered the animal numbers, use the Pasture Principles manual to calculate the animal requirements for each class in each month.</t>
  </si>
  <si>
    <r>
      <t xml:space="preserve">The numbers already included in the </t>
    </r>
    <r>
      <rPr>
        <b/>
        <sz val="11"/>
        <rFont val="Calibri"/>
        <family val="2"/>
      </rPr>
      <t>animal requirements</t>
    </r>
    <r>
      <rPr>
        <sz val="11"/>
        <rFont val="Calibri"/>
        <family val="2"/>
      </rPr>
      <t xml:space="preserve"> section are unlikely to be correct for your situation - animal requirements depend on stage of the reproductive cycle,</t>
    </r>
  </si>
  <si>
    <t>the weight of the animals and whether they are maintaining or increasing in weight. You are able to change the animal requirements to suit your business.</t>
  </si>
  <si>
    <t>Once you set the animal requirements up correctly for your farm then they are only likely to require minor changes in future if timing of events changes (e.g. time of lambing or calving).</t>
  </si>
  <si>
    <t>Dry cows and dry ewes are animals without a lamb/calf at foot, however, they may be pregnant. As their stage of pregnancy advances this should be accounted for by adjusting their animal requirements accordingly.</t>
  </si>
  <si>
    <t>There is no differentiation between twin and single bearing ewes, in order to keep the tool as simple as possible. To account for this, calculate the proportion of single to twins in your ewes, and adjust the animal requirements accordingly.</t>
  </si>
  <si>
    <r>
      <t>4.</t>
    </r>
    <r>
      <rPr>
        <b/>
        <sz val="7"/>
        <rFont val="Times New Roman"/>
        <family val="1"/>
      </rPr>
      <t xml:space="preserve">      </t>
    </r>
    <r>
      <rPr>
        <b/>
        <sz val="11"/>
        <rFont val="Calibri"/>
        <family val="2"/>
      </rPr>
      <t>Feed status - summary</t>
    </r>
  </si>
  <si>
    <t>There are three sections to the feed status summary section of the Feed Profile Tool.</t>
  </si>
  <si>
    <r>
      <t>a.</t>
    </r>
    <r>
      <rPr>
        <b/>
        <sz val="7"/>
        <rFont val="Times New Roman"/>
        <family val="1"/>
      </rPr>
      <t xml:space="preserve">      </t>
    </r>
    <r>
      <rPr>
        <b/>
        <sz val="11"/>
        <rFont val="Calibri"/>
        <family val="2"/>
      </rPr>
      <t xml:space="preserve"> Surplus deficit and pasture cover - no supplements</t>
    </r>
  </si>
  <si>
    <r>
      <t>b.</t>
    </r>
    <r>
      <rPr>
        <b/>
        <sz val="7"/>
        <rFont val="Times New Roman"/>
        <family val="1"/>
      </rPr>
      <t xml:space="preserve">     </t>
    </r>
    <r>
      <rPr>
        <b/>
        <sz val="11"/>
        <rFont val="Calibri"/>
        <family val="2"/>
      </rPr>
      <t xml:space="preserve"> Supplements</t>
    </r>
  </si>
  <si>
    <r>
      <t>c.</t>
    </r>
    <r>
      <rPr>
        <b/>
        <sz val="7"/>
        <rFont val="Times New Roman"/>
        <family val="1"/>
      </rPr>
      <t xml:space="preserve">      </t>
    </r>
    <r>
      <rPr>
        <b/>
        <sz val="11"/>
        <rFont val="Calibri"/>
        <family val="2"/>
      </rPr>
      <t xml:space="preserve"> Surplus deficit and pasture cover - supplements</t>
    </r>
  </si>
  <si>
    <r>
      <t xml:space="preserve">The </t>
    </r>
    <r>
      <rPr>
        <b/>
        <sz val="11"/>
        <rFont val="Calibri"/>
        <family val="2"/>
      </rPr>
      <t>Surplus deficit and pasture cover - no supplements</t>
    </r>
    <r>
      <rPr>
        <sz val="11"/>
        <rFont val="Calibri"/>
        <family val="2"/>
      </rPr>
      <t xml:space="preserve"> section gives the results for feed demand vs feed supply, from standing feed.</t>
    </r>
  </si>
  <si>
    <t>Given that the bulk of feed is naturally produced in spring and there is usually a deficit in winter, it is highly unlikely that demand and supply will be evenly matched through the year.</t>
  </si>
  <si>
    <r>
      <t xml:space="preserve">This is where the power of the Feed Profile Tool is realised - you can use the </t>
    </r>
    <r>
      <rPr>
        <b/>
        <sz val="11"/>
        <rFont val="Calibri"/>
        <family val="2"/>
      </rPr>
      <t>Supplements</t>
    </r>
    <r>
      <rPr>
        <sz val="11"/>
        <rFont val="Calibri"/>
        <family val="2"/>
      </rPr>
      <t xml:space="preserve"> section to even out the surpluses and deficits across the year.</t>
    </r>
  </si>
  <si>
    <r>
      <t xml:space="preserve">The impact of supplements can be seen in the </t>
    </r>
    <r>
      <rPr>
        <b/>
        <sz val="11"/>
        <rFont val="Calibri"/>
        <family val="2"/>
      </rPr>
      <t>Surplus deficit and pasture cover - supplements</t>
    </r>
    <r>
      <rPr>
        <sz val="11"/>
        <rFont val="Calibri"/>
        <family val="2"/>
      </rPr>
      <t xml:space="preserve"> section.</t>
    </r>
  </si>
  <si>
    <r>
      <t>To effectively manage feed surplus/deficit using supplements, the key factors to look for and control in the</t>
    </r>
    <r>
      <rPr>
        <b/>
        <sz val="11"/>
        <rFont val="Calibri"/>
        <family val="2"/>
      </rPr>
      <t xml:space="preserve"> Surplus deficit and pasture cover - supplements</t>
    </r>
    <r>
      <rPr>
        <sz val="11"/>
        <rFont val="Calibri"/>
        <family val="2"/>
      </rPr>
      <t xml:space="preserve"> section are:</t>
    </r>
  </si>
  <si>
    <t>* aim to have pasture cover of 1500 kg/ha in July, to set up for lambing / calving; and</t>
  </si>
  <si>
    <t>* aim to have pasture cover between 1,500 and 2,200 kg/ha over the 12 months. Below 1,500 is a high risk strategy and above 2,200 indicates wastage of feed and under stocking.</t>
  </si>
  <si>
    <r>
      <t xml:space="preserve">A </t>
    </r>
    <r>
      <rPr>
        <b/>
        <sz val="11"/>
        <rFont val="Calibri"/>
        <family val="2"/>
      </rPr>
      <t xml:space="preserve">Supplements Tool </t>
    </r>
    <r>
      <rPr>
        <sz val="11"/>
        <rFont val="Calibri"/>
        <family val="2"/>
      </rPr>
      <t>has been developed to enable the supplements section of the Feed Profile Tool to be easily completed.</t>
    </r>
  </si>
  <si>
    <t>Clearly, supplements are only one tool to manage a surplus/deficit. Increasing or decreasing feed allocation and/or stock numbers, or changing the timing of peak animal requirements (e.g. lambing/calving)</t>
  </si>
  <si>
    <t>to better match feed availability can all be used as strategies to even out feed supply and demand.</t>
  </si>
  <si>
    <t>Comparing predicted and actual results</t>
  </si>
  <si>
    <r>
      <t xml:space="preserve">Each month when average pasture cover is measured and compared to the feed profile, compare it to the closing balance for that month in the </t>
    </r>
    <r>
      <rPr>
        <b/>
        <sz val="11"/>
        <rFont val="Calibri"/>
        <family val="2"/>
      </rPr>
      <t>Surplus deficit and pasture cover - supplements</t>
    </r>
    <r>
      <rPr>
        <sz val="11"/>
        <rFont val="Calibri"/>
        <family val="2"/>
      </rPr>
      <t xml:space="preserve"> section.</t>
    </r>
  </si>
  <si>
    <t>For guidelines on how to measure average pasture cover accurately, refer to Measuring Pasture chapter in the Pasture Principles Manual.</t>
  </si>
  <si>
    <t>If the predicted and actual pasture covers are close and there are no checks to be made, over-write the predicted closing balance for that month with your measured pasture cover.</t>
  </si>
  <si>
    <t>Instructions</t>
  </si>
  <si>
    <t>Important Information and Disclaimer</t>
  </si>
  <si>
    <t>By using the Feed Budget Tool, you accept all the terms of this disclaimer.</t>
  </si>
  <si>
    <t>Macquarie Franklin, who developed the Feed Budget Tool, expressly disclaim all and any legal liability and responsibility whatsoever arising from or connected with:</t>
  </si>
  <si>
    <t>•  the accuracy, reliability, validity, currency or completeness of the base assumptions supplied;</t>
  </si>
  <si>
    <t>•  the accuracy, reliability, validity, currency or completeness of any results obtained from the use of the tool;</t>
  </si>
  <si>
    <t>•  the consequences of anything done or omitted to be done by any person, either in whole or in part, in reliance of any such information, model spreadsheet or results; and</t>
  </si>
  <si>
    <t>•  any combination of any of the above.</t>
  </si>
  <si>
    <r>
      <t>Growth Rates Modelled</t>
    </r>
    <r>
      <rPr>
        <b/>
        <sz val="10"/>
        <rFont val="Calibri"/>
        <family val="2"/>
      </rPr>
      <t xml:space="preserve"> (where growth rates have NOT been measured on-farm)</t>
    </r>
  </si>
  <si>
    <t>White cells are for data entry by the user. Coloured cells are locked and cannot be changed by the user. This applies to all tools within the Feed Budget Tool.</t>
  </si>
  <si>
    <t>matches the most closely (stubbles, residues &amp; forage crops are accounted for the Supplements Tool). The only crops which are relevant for the feed profile are the pastures and fodder crops.</t>
  </si>
  <si>
    <t>Enter the average rainfall for your property and if you irrigate pasture and fodder, enter the average amount of water applied (mm per ha).</t>
  </si>
  <si>
    <t>to enter any information into this section. The modelled growth rates will be used along with effective area to calculate the total pasture grown (i.e. total feed supply).</t>
  </si>
  <si>
    <t>For example, if 80% of your ewes are twins and 20% single and it is the first month of lambing (twins 2.5 kg DM/head/day and single 1.8 kg/DM/head/day), then the weighted requirement is 2.4 kg/DM/head/day.</t>
  </si>
  <si>
    <t>Supplements can be added in as nitrogen, silage, hay, grain or forage crops / stubble. They can also be taken out of the system where silage or hay are cut.</t>
  </si>
  <si>
    <t>Highlight the changed cell in yellow, and adjust the formula of the closing balance for other months so that they all are calculating from the actual that you have just entered as the starting pasture cover.</t>
  </si>
  <si>
    <t>t DM/ha/year</t>
  </si>
  <si>
    <t xml:space="preserve">APC with no supplements </t>
  </si>
  <si>
    <t>(kg DM / ha)</t>
  </si>
  <si>
    <t xml:space="preserve"> Average daily pasture growth rates </t>
  </si>
  <si>
    <t xml:space="preserve">Average daily feed requirements </t>
  </si>
  <si>
    <t>(kg DM/ha/day)</t>
  </si>
  <si>
    <t>Daily growth rate (kg DM/ha)</t>
  </si>
  <si>
    <t>Total DM requirements / hd / day</t>
  </si>
  <si>
    <t>Feed grown during grazing</t>
  </si>
  <si>
    <t>Extra days feed available</t>
  </si>
  <si>
    <t>Feed budget</t>
  </si>
  <si>
    <t>Paddock details</t>
  </si>
  <si>
    <t>Animal weight (kg)</t>
  </si>
  <si>
    <t>NDF (%)</t>
  </si>
  <si>
    <t>Supplementary feed type</t>
  </si>
  <si>
    <t>Feed calculations</t>
  </si>
  <si>
    <t>lucerne silage</t>
  </si>
  <si>
    <t>grass silage</t>
  </si>
  <si>
    <t>lucerne hay</t>
  </si>
  <si>
    <t>grass hay</t>
  </si>
  <si>
    <t>grass seed straw</t>
  </si>
  <si>
    <t>Proposed feed type</t>
  </si>
  <si>
    <t>No. animals</t>
  </si>
  <si>
    <t>Mob No.</t>
  </si>
  <si>
    <t>Max daily intake based on NDF and liveweight (kg DM/hd/day)</t>
  </si>
  <si>
    <t>Feed characteristics</t>
  </si>
  <si>
    <t>Difference between energy requirements &amp; max daily intake (kg DM/hd/day)</t>
  </si>
  <si>
    <t>% of diet as supp feed</t>
  </si>
  <si>
    <t>Total energy requirements (kg DM/hd/day)</t>
  </si>
  <si>
    <t>Total feed required (kg DM/mob/day)</t>
  </si>
  <si>
    <t>Max daily intake (with % diet as supplment counted) (kg DM/hd/day)</t>
  </si>
  <si>
    <t>Typical feed values</t>
  </si>
  <si>
    <t>Measured feed values</t>
  </si>
  <si>
    <t>Proposed feed method*</t>
  </si>
  <si>
    <t>Total energy requirements (MJ/hd/day)</t>
  </si>
  <si>
    <t>Total feed required (MJ/mob/day)</t>
  </si>
  <si>
    <t xml:space="preserve">The Feed Budget Tool has been prepared to assist in making farm management decisions in relation to managing feed requirements. </t>
  </si>
  <si>
    <t xml:space="preserve">As such, it will need to be adapted for individual farm circumstances. Users should have undertaken the Pasture Principles program as part of their training to use the Feed Budget Tool, </t>
  </si>
  <si>
    <t>and should tailor the tool as much as possible to their circumstances (e.g. growth rates and animal requirements), in order to increase the reliability of the outputs</t>
  </si>
  <si>
    <t>Paddock Feed Budget Calculator</t>
  </si>
  <si>
    <t>The tool will automatically calculate the total kg DM available in the paddock.</t>
  </si>
  <si>
    <t>If you want to adjust the number of days grazing (e.g. to fit within your rotation length), then you can play with the number of animals and/or the area available until you get the correct number of days.</t>
  </si>
  <si>
    <t>and the amount of feed required to meet specified energy requirements. It is not intended as a complete nutrition calculator for animals being supplementary fed, it is a simple ready reckoner to assist producers to understand the differences</t>
  </si>
  <si>
    <t>between different supplementary feed sources and the amount of feed that animals require. The next step would be for producers to use this information to conduct a cost-benefit analysis to be sure that supp feeding is the most profitable course of action.</t>
  </si>
  <si>
    <t>Users are encouraged to run different scenarios with the tool (e.g. same mob, with different feed options), to get a feel for what feed sources may fit best.</t>
  </si>
  <si>
    <t>Adopted value for ME</t>
  </si>
  <si>
    <t>Adopted value for DM</t>
  </si>
  <si>
    <t>Energy ME (MJ/kg DM)</t>
  </si>
  <si>
    <t>Dry matter (%)</t>
  </si>
  <si>
    <t>ME in feed (MJ/kg DM)</t>
  </si>
  <si>
    <t>Trail grain</t>
  </si>
  <si>
    <t>Trail hay or silage</t>
  </si>
  <si>
    <t>barley grain</t>
  </si>
  <si>
    <t>wheat grain</t>
  </si>
  <si>
    <t>oat grain</t>
  </si>
  <si>
    <t>Crude Protein (%)</t>
  </si>
  <si>
    <t>Dry Matter %</t>
  </si>
  <si>
    <t>Fibre calculations - maximum amount of feed animals can eat per day based on fibre content (NDF)</t>
  </si>
  <si>
    <t>Nominated feed ME &amp; DM values</t>
  </si>
  <si>
    <t>Feed calculations - determine the wet weight to be fed per mob</t>
  </si>
  <si>
    <t>It will be especially useful for fodder crops, such as clover and brassica, and for calculating areas required for specific rotation lengths.</t>
  </si>
  <si>
    <r>
      <t xml:space="preserve">The calculator is comprised of 4 parts - </t>
    </r>
    <r>
      <rPr>
        <b/>
        <sz val="11"/>
        <rFont val="Calibri"/>
        <family val="2"/>
      </rPr>
      <t>paddock details, feed available, animal requirements and feed budget.</t>
    </r>
  </si>
  <si>
    <t>Enter the growth rate, which you have measured (if you don't know what the growth rates are look up the modelled ones in the Feed Profile Tool, and enter these).</t>
  </si>
  <si>
    <r>
      <t>Animal requirements:</t>
    </r>
    <r>
      <rPr>
        <sz val="11"/>
        <rFont val="Calibri"/>
        <family val="2"/>
      </rPr>
      <t xml:space="preserve"> First enter the class and number of animals, then the animal requirements (kg DM/head/day) for each of the different categories. The overall animal requirements (kg DM/head/day) will calculate automatically.</t>
    </r>
  </si>
  <si>
    <t>The feed budget will then use the information you have provided to determine the number of grazing days available.</t>
  </si>
  <si>
    <t>This budget does not account for rumen adjustment time if grazing brassicas, but it is important to consider this if, for example, you are using the tool to calculate how many days to finish lambs on brassica.</t>
  </si>
  <si>
    <r>
      <t xml:space="preserve">The Supp Feed Calculator is divided into 3 sections - </t>
    </r>
    <r>
      <rPr>
        <b/>
        <sz val="11"/>
        <rFont val="Calibri"/>
        <family val="2"/>
      </rPr>
      <t>animal requirements, feed calculations and feed characteristics.</t>
    </r>
  </si>
  <si>
    <r>
      <t>Animal requirements:</t>
    </r>
    <r>
      <rPr>
        <sz val="11"/>
        <rFont val="Calibri"/>
        <family val="2"/>
      </rPr>
      <t xml:space="preserve"> first enter the class and number of animals, then the animal requirements for each of the different categories. The overall animal requirements (kg DM/head/day) will calculate automatically.</t>
    </r>
  </si>
  <si>
    <t>Then enter the proposed feed type using the dropdown menu, the amount (%) of the diet that will be comprised of the supplementary feed, and how it will be fed out using the drop down menu.</t>
  </si>
  <si>
    <r>
      <t>Feed characteristics</t>
    </r>
    <r>
      <rPr>
        <sz val="11"/>
        <rFont val="Calibri"/>
        <family val="2"/>
      </rPr>
      <t>: typical feed test data for the fodder types have been provided (shaded). If you have data from your own feed tests, then enter into the appropriate unshaded cell/s. Your own data will over-ride the modelled data.</t>
    </r>
  </si>
  <si>
    <r>
      <t>Feed calculations:</t>
    </r>
    <r>
      <rPr>
        <sz val="11"/>
        <rFont val="Calibri"/>
        <family val="2"/>
      </rPr>
      <t xml:space="preserve"> based on the information you have provided in the other sections the tool will calculate the following for you:</t>
    </r>
  </si>
  <si>
    <t>Max daily intake based on NDF and liveweight (kg DM/hd/day). Fibre in the diet determines how much the animal can eat in a day. For some feed types (e.g. grass seed straw), the NDF is so high that the animal physically cannot eat sufficient quantities to sustain itself.</t>
  </si>
  <si>
    <t>Gross amounts of the nominated feed required (kg as feed/mob/day) to meet energy needs (taking into account wastage). If feeding silage or hay you will need to calculate how many bales are required.</t>
  </si>
  <si>
    <t>Supplements Tool</t>
  </si>
  <si>
    <t>There are separate tables for hay, silage, grain, fodder crops (e.g. pea stubble, cereal stubble, broccoli stubble, etc.) and nitrogen.</t>
  </si>
  <si>
    <t>The hay and silage tables can be used to calculate the impact of both cutting and feeding hay and silage, and account for the actual DM, and feed efficiency.</t>
  </si>
  <si>
    <t>The nitrogen calculator is especially useful, as N is not always available in the same month applied, depending on growth rates and soil temperature. The Supplements Tool coverts the application month into the available DM month.</t>
  </si>
  <si>
    <t>Summary of Results</t>
  </si>
  <si>
    <t>Supp Feed Calculator</t>
  </si>
  <si>
    <r>
      <t xml:space="preserve">The </t>
    </r>
    <r>
      <rPr>
        <b/>
        <sz val="11"/>
        <rFont val="Calibri"/>
        <family val="2"/>
      </rPr>
      <t>Paddock Feed Budget Calculator</t>
    </r>
    <r>
      <rPr>
        <sz val="11"/>
        <rFont val="Calibri"/>
        <family val="2"/>
      </rPr>
      <t xml:space="preserve"> is a tool designed to enable users to quickly and easily calculate the number of days of feed available in a paddock of crop or pasture, for a specified number of animals of a certain class.</t>
    </r>
  </si>
  <si>
    <r>
      <t xml:space="preserve">The </t>
    </r>
    <r>
      <rPr>
        <b/>
        <sz val="11"/>
        <rFont val="Calibri"/>
        <family val="2"/>
      </rPr>
      <t>Supp Feed Calculator</t>
    </r>
    <r>
      <rPr>
        <sz val="11"/>
        <rFont val="Calibri"/>
        <family val="2"/>
      </rPr>
      <t xml:space="preserve"> is a tool designed to make it easy to calculate animal feed requirements when supplementary feeding - it will highlight the maximum daily intake for specific classes of animals on specific supplementary feed types,</t>
    </r>
  </si>
  <si>
    <r>
      <t>The key results for the Feed Profile Tool are summarised graphically in the</t>
    </r>
    <r>
      <rPr>
        <b/>
        <sz val="11"/>
        <rFont val="Calibri"/>
        <family val="2"/>
      </rPr>
      <t xml:space="preserve"> Summary of results </t>
    </r>
    <r>
      <rPr>
        <sz val="11"/>
        <rFont val="Calibri"/>
        <family val="2"/>
      </rPr>
      <t>worksheet. The graphs are automatically generated and enable you to quickly get a visual idea of how your feed supply/demand is looking.</t>
    </r>
  </si>
  <si>
    <r>
      <t xml:space="preserve">Using the </t>
    </r>
    <r>
      <rPr>
        <b/>
        <sz val="11"/>
        <rFont val="Calibri"/>
        <family val="2"/>
      </rPr>
      <t xml:space="preserve">Supplements Tool </t>
    </r>
    <r>
      <rPr>
        <sz val="11"/>
        <rFont val="Calibri"/>
        <family val="2"/>
      </rPr>
      <t>will enable the kg DM per month supplied by supplements to be simply and accurately calculated.</t>
    </r>
  </si>
  <si>
    <r>
      <t xml:space="preserve">As with the </t>
    </r>
    <r>
      <rPr>
        <b/>
        <sz val="11"/>
        <rFont val="Calibri"/>
        <family val="2"/>
      </rPr>
      <t>Effective Area Tool</t>
    </r>
    <r>
      <rPr>
        <sz val="11"/>
        <rFont val="Calibri"/>
        <family val="2"/>
      </rPr>
      <t xml:space="preserve">, once all of the individual supplement tables are completed, the summary table is automatically calculated and copied across to the supplements section of the </t>
    </r>
    <r>
      <rPr>
        <b/>
        <sz val="11"/>
        <rFont val="Calibri"/>
        <family val="2"/>
      </rPr>
      <t>Feed Profile Tool</t>
    </r>
    <r>
      <rPr>
        <sz val="11"/>
        <rFont val="Calibri"/>
        <family val="2"/>
      </rPr>
      <t>.</t>
    </r>
  </si>
  <si>
    <r>
      <rPr>
        <b/>
        <sz val="11"/>
        <rFont val="Calibri"/>
        <family val="2"/>
      </rPr>
      <t xml:space="preserve">Feed available section: </t>
    </r>
    <r>
      <rPr>
        <sz val="11"/>
        <rFont val="Calibri"/>
        <family val="2"/>
      </rPr>
      <t>enter the fodder type using the drop down menu, and the starting cover (kg DM/ha) from what has been measured in the paddock. The residual cover (Kg DM/ha) is what you're aiming to graze it down to.</t>
    </r>
  </si>
  <si>
    <r>
      <rPr>
        <b/>
        <sz val="11"/>
        <rFont val="Calibri"/>
        <family val="2"/>
      </rPr>
      <t>Paddock details:</t>
    </r>
    <r>
      <rPr>
        <sz val="11"/>
        <rFont val="Calibri"/>
        <family val="2"/>
      </rPr>
      <t xml:space="preserve"> starting here, users can enter data in any of the unshaded cells. The area should be entered in hectares.</t>
    </r>
  </si>
  <si>
    <t>Net weight feed (kg DM/hd/day) to meet energy needs</t>
  </si>
  <si>
    <t>Gross (kg DM/hd/day) to meet energy needs (taking into account wastage)</t>
  </si>
  <si>
    <t>Gross (kg as feed/hd/day) to meet energy needs (taking into account wastage) (wet weight)</t>
  </si>
  <si>
    <t>Gross (kg as feed/mob/day) to meet energy needs (taking into account wastage) (wet weight)</t>
  </si>
  <si>
    <t>Total days of feed (rounded)</t>
  </si>
  <si>
    <t>Farm Feed Profile Version 2.3</t>
  </si>
  <si>
    <t>Effective Area Tool Version 2.3</t>
  </si>
  <si>
    <t>Supplements Tool Version 2.3</t>
  </si>
  <si>
    <t>Paddock Feed Budget Calculator Version 2.3</t>
  </si>
  <si>
    <t>Supplementary Feed Calculator Version 2.3</t>
  </si>
  <si>
    <t>Version 2.3 February 2017</t>
  </si>
  <si>
    <t>Feed profile - Summary of Results Version 2.3</t>
  </si>
  <si>
    <t>To duplicate a crop type, use copy and paste.</t>
  </si>
  <si>
    <t>kg/ha</t>
  </si>
  <si>
    <t xml:space="preserve"> Do not enter a zero for measured growth rate, as this will cause the calculations to default to the modelled number (enter a number &gt;0.5).</t>
  </si>
  <si>
    <t>High quality pasture</t>
  </si>
  <si>
    <t>CiM Start</t>
  </si>
  <si>
    <t>Cows Calving</t>
  </si>
  <si>
    <t>Heifers Calving</t>
  </si>
  <si>
    <t>Drying Off</t>
  </si>
  <si>
    <t>Cull</t>
  </si>
  <si>
    <t>Deaths</t>
  </si>
  <si>
    <t>CiM End</t>
  </si>
  <si>
    <t>Dry Cows Start</t>
  </si>
  <si>
    <t>Change</t>
  </si>
  <si>
    <t>Dry Cows End</t>
  </si>
  <si>
    <t>Average Dry Cows</t>
  </si>
  <si>
    <t>Average CiM</t>
  </si>
  <si>
    <t>Litres/cow/day</t>
  </si>
  <si>
    <t>Litres/month</t>
  </si>
  <si>
    <t>Feed Requirements</t>
  </si>
  <si>
    <t>Maintenance</t>
  </si>
  <si>
    <t>Production</t>
  </si>
  <si>
    <t>Total / CiM</t>
  </si>
  <si>
    <t>Cows in Milk</t>
  </si>
  <si>
    <t>Litres</t>
  </si>
  <si>
    <t>R/litre</t>
  </si>
  <si>
    <t>Concentrates</t>
  </si>
  <si>
    <t>R/kg</t>
  </si>
  <si>
    <t>CiM</t>
  </si>
  <si>
    <t>Milk income</t>
  </si>
  <si>
    <t>Cull income</t>
  </si>
  <si>
    <t>TOTAL INCOME</t>
  </si>
  <si>
    <t>VARIABLE COSTS</t>
  </si>
  <si>
    <t>INCOME</t>
  </si>
  <si>
    <t>Concentrates - Milk</t>
  </si>
  <si>
    <t>Concentrates - Dry</t>
  </si>
  <si>
    <t>Heifer costs</t>
  </si>
  <si>
    <t>Bought roughage</t>
  </si>
  <si>
    <t>Seed</t>
  </si>
  <si>
    <t>Phosphate</t>
  </si>
  <si>
    <t>Potassium</t>
  </si>
  <si>
    <t>Other fert &amp; chem</t>
  </si>
  <si>
    <t>Vets &amp; Meds</t>
  </si>
  <si>
    <t>Water</t>
  </si>
  <si>
    <t>Pasture contracting</t>
  </si>
  <si>
    <t>Levies &amp; Comm</t>
  </si>
  <si>
    <t>TOTAL VARIABLE</t>
  </si>
  <si>
    <t>FIXED COSTS</t>
  </si>
  <si>
    <t>Salaries</t>
  </si>
  <si>
    <t>Wages</t>
  </si>
  <si>
    <t>Repairs &amp; Maintenance</t>
  </si>
  <si>
    <t>Fuel &amp; Lubes</t>
  </si>
  <si>
    <t>Electricity</t>
  </si>
  <si>
    <t>License &amp; Insurance</t>
  </si>
  <si>
    <t>Admin</t>
  </si>
  <si>
    <t>TOTAL FIXED</t>
  </si>
  <si>
    <t>NET FARMING INCOME</t>
  </si>
  <si>
    <t>CAPITAL COSTS</t>
  </si>
  <si>
    <t>TOTAL CAPITAL</t>
  </si>
  <si>
    <t>CASH AVAILABLE</t>
  </si>
  <si>
    <t>Accumulated</t>
  </si>
  <si>
    <t>CASH FLOW PROJECTION</t>
  </si>
  <si>
    <t>Heifers</t>
  </si>
  <si>
    <t>Weaned</t>
  </si>
  <si>
    <t>Heifers born</t>
  </si>
  <si>
    <t>Pre-Weaned Heifers</t>
  </si>
  <si>
    <t>Heifers in Calf</t>
  </si>
  <si>
    <t>Post-Weaned Heifers</t>
  </si>
  <si>
    <t>Confirmed in Calf</t>
  </si>
  <si>
    <t>Start</t>
  </si>
  <si>
    <t>Concentrates - Heifers</t>
  </si>
  <si>
    <t>R/heifer</t>
  </si>
  <si>
    <t>Lucern</t>
  </si>
  <si>
    <t>Home grass silage</t>
  </si>
  <si>
    <t>Fodder crops</t>
  </si>
  <si>
    <t>R/bale</t>
  </si>
  <si>
    <t>R/ha</t>
  </si>
  <si>
    <t>Cost of Fodder Crop</t>
  </si>
  <si>
    <t>Total cost of crop</t>
  </si>
  <si>
    <t>Irrigated Pasture</t>
  </si>
  <si>
    <t>Dryland Pasture</t>
  </si>
  <si>
    <t>% Split of Costs</t>
  </si>
  <si>
    <t>Hectares planted</t>
  </si>
  <si>
    <t>Estimated R/ha cost</t>
  </si>
  <si>
    <t>Renovation Mix</t>
  </si>
  <si>
    <t>Perennial Rye</t>
  </si>
  <si>
    <t>Clover</t>
  </si>
  <si>
    <t>Plantane</t>
  </si>
  <si>
    <t>Chicory</t>
  </si>
  <si>
    <t>Other</t>
  </si>
  <si>
    <t>FERTILIZER AND SEED INPUTS</t>
  </si>
  <si>
    <t>Kg/ha</t>
  </si>
  <si>
    <t>Seed Type</t>
  </si>
  <si>
    <t>Oversow Mix</t>
  </si>
  <si>
    <t>Dryland Mix</t>
  </si>
  <si>
    <t>Other Mix</t>
  </si>
  <si>
    <t>No Action</t>
  </si>
  <si>
    <t>Total ha's</t>
  </si>
  <si>
    <t>Hectare Summary</t>
  </si>
  <si>
    <t>Fertilizer Program</t>
  </si>
  <si>
    <t>Fertilizer type</t>
  </si>
  <si>
    <t>R/unit</t>
  </si>
  <si>
    <t>Nitrogen - Dryland</t>
  </si>
  <si>
    <t>Nitrogen - Irrigated</t>
  </si>
  <si>
    <t>Total N Units</t>
  </si>
  <si>
    <t>Irrigated Crops</t>
  </si>
  <si>
    <t>Dryland Crops</t>
  </si>
  <si>
    <t>Phosphate - Irrigated</t>
  </si>
  <si>
    <t>Phosphate - Dryland</t>
  </si>
  <si>
    <t>Total Phosphate</t>
  </si>
  <si>
    <t>MAP</t>
  </si>
  <si>
    <t>N</t>
  </si>
  <si>
    <t xml:space="preserve">P </t>
  </si>
  <si>
    <t>K</t>
  </si>
  <si>
    <t>Urea</t>
  </si>
  <si>
    <t>R/ton</t>
  </si>
  <si>
    <t>R/t</t>
  </si>
  <si>
    <t>Potassium - Irrigation</t>
  </si>
  <si>
    <t>Potassium - Dryland</t>
  </si>
  <si>
    <t>Total Potassium</t>
  </si>
  <si>
    <t>KCl</t>
  </si>
  <si>
    <t>Chicken Litter/ha</t>
  </si>
  <si>
    <t>Hectares applied</t>
  </si>
  <si>
    <t>Rands</t>
  </si>
  <si>
    <t>Lime/Gypsum/ha</t>
  </si>
  <si>
    <t>c/litre</t>
  </si>
  <si>
    <t>R/cow</t>
  </si>
  <si>
    <t>R/cull</t>
  </si>
  <si>
    <t>Avg CiM</t>
  </si>
  <si>
    <t>Avg Dry</t>
  </si>
  <si>
    <t>Total litres</t>
  </si>
  <si>
    <t>Maize bought</t>
  </si>
  <si>
    <t>HiC</t>
  </si>
  <si>
    <t>Bull</t>
  </si>
  <si>
    <t>6 - Bulling</t>
  </si>
  <si>
    <t>0-6</t>
  </si>
  <si>
    <t>Sorgum</t>
  </si>
  <si>
    <t>Oats</t>
  </si>
  <si>
    <t>Parlour Staff</t>
  </si>
  <si>
    <t>Outside Staff</t>
  </si>
  <si>
    <t>Feeding / cow</t>
  </si>
  <si>
    <t>Roughage</t>
  </si>
  <si>
    <t>Grass</t>
  </si>
  <si>
    <t>T/ha</t>
  </si>
  <si>
    <t>Milking platform</t>
  </si>
  <si>
    <t>Support platform</t>
  </si>
  <si>
    <t>Avg CiH</t>
  </si>
  <si>
    <t>Targets</t>
  </si>
  <si>
    <t>CiH</t>
  </si>
  <si>
    <t>Tractors</t>
  </si>
  <si>
    <t>Liveweight &amp; Pregnancy</t>
  </si>
  <si>
    <t>Heifers off farm</t>
  </si>
  <si>
    <t>Total Heifers</t>
  </si>
  <si>
    <t>Total Support Platform</t>
  </si>
  <si>
    <t>Irr - Hi - Pasture</t>
  </si>
  <si>
    <t>Irr - Med - Pasture</t>
  </si>
  <si>
    <t>Irr - Lo - Pasture</t>
  </si>
  <si>
    <t>Dry - Pasture 1</t>
  </si>
  <si>
    <t>Dry - Pasture 2</t>
  </si>
  <si>
    <t>Dry - Crop 1</t>
  </si>
  <si>
    <t>Dry - Crop 2</t>
  </si>
  <si>
    <t>Dry - Crop 3</t>
  </si>
  <si>
    <t>Pasture Renovation</t>
  </si>
  <si>
    <t>Other livestock</t>
  </si>
  <si>
    <t>Pasture Produced</t>
  </si>
  <si>
    <t>Balance</t>
  </si>
  <si>
    <t>Grass silage/hay</t>
  </si>
  <si>
    <t>Total Requirement</t>
  </si>
  <si>
    <t>Cow/year</t>
  </si>
  <si>
    <t>Bought Lucern</t>
  </si>
  <si>
    <t>Bought Drought Supplement</t>
  </si>
  <si>
    <t>Bought Teff</t>
  </si>
  <si>
    <t>Bought Grass Hay</t>
  </si>
  <si>
    <t>Feed Efficiency</t>
  </si>
  <si>
    <t xml:space="preserve">% </t>
  </si>
  <si>
    <t>% Dry Matter</t>
  </si>
  <si>
    <t>Effective kg required</t>
  </si>
  <si>
    <t>Feed out kg required</t>
  </si>
  <si>
    <t>In Stock</t>
  </si>
  <si>
    <t xml:space="preserve">Bought kg </t>
  </si>
  <si>
    <t>Silage made</t>
  </si>
  <si>
    <t>Silage fed</t>
  </si>
  <si>
    <t>Silage required</t>
  </si>
  <si>
    <t>% Quality loss</t>
  </si>
  <si>
    <t>Kg/DM Produced</t>
  </si>
  <si>
    <t>Kg/DM Required</t>
  </si>
  <si>
    <t>Feed efficiency</t>
  </si>
  <si>
    <t>Kg/DM Offered</t>
  </si>
  <si>
    <t>Bought supplements</t>
  </si>
  <si>
    <t>Home supplements</t>
  </si>
  <si>
    <t>Closing Pasture Cover</t>
  </si>
  <si>
    <t>Irr - Crop 1 (Lucern)</t>
  </si>
  <si>
    <t>Irr - Crop 2 (Oats)</t>
  </si>
  <si>
    <t>Irr - Crop 3 (Sorgum)</t>
  </si>
  <si>
    <t>Livestock Transfers</t>
  </si>
  <si>
    <t>P1</t>
  </si>
  <si>
    <t>In (+)</t>
  </si>
  <si>
    <t>Out (-)</t>
  </si>
  <si>
    <t>P2</t>
  </si>
  <si>
    <t>Transfer In/Out</t>
  </si>
  <si>
    <t>Forage Crops</t>
  </si>
  <si>
    <t>Feed Transferred In</t>
  </si>
  <si>
    <t>Feed Transferred P1 - P2</t>
  </si>
  <si>
    <t>Feed Transferred P2 - P1</t>
  </si>
  <si>
    <t>In</t>
  </si>
  <si>
    <t>Tranferred supplements</t>
  </si>
  <si>
    <t>Tranfer supplements</t>
  </si>
  <si>
    <t>Transferred Out</t>
  </si>
  <si>
    <t>Pasture Index</t>
  </si>
  <si>
    <t>Required</t>
  </si>
  <si>
    <t>Effective</t>
  </si>
  <si>
    <t>Fed</t>
  </si>
  <si>
    <t>ME</t>
  </si>
  <si>
    <t>Waste</t>
  </si>
  <si>
    <t>Kg/bale</t>
  </si>
  <si>
    <t>Horses</t>
  </si>
  <si>
    <t>R/kg dry cow meal</t>
  </si>
  <si>
    <t>R/kg heifer meal</t>
  </si>
  <si>
    <t>In (-)</t>
  </si>
  <si>
    <t>Out (+)</t>
  </si>
  <si>
    <t>18 Month Rye</t>
  </si>
  <si>
    <t>Heifer sales</t>
  </si>
  <si>
    <t>R/confirmed in calf</t>
  </si>
  <si>
    <t>B, G and H to be renewed by end of October</t>
  </si>
  <si>
    <t>Pot Sol</t>
  </si>
  <si>
    <t>Baling</t>
  </si>
  <si>
    <t>Discing</t>
  </si>
  <si>
    <t>Fertilizer</t>
  </si>
  <si>
    <t>Plant maize blocks to teff - 55 ha</t>
  </si>
  <si>
    <t>Cut Ncora 2 fertilizer Oct/Nov/Dec in half</t>
  </si>
  <si>
    <t>Security</t>
  </si>
  <si>
    <t>Need 150 Autumn heifers????</t>
  </si>
  <si>
    <t>Normal Oversow</t>
  </si>
  <si>
    <t>Splice Oversow</t>
  </si>
  <si>
    <t>Perennial</t>
  </si>
  <si>
    <t>D1</t>
  </si>
  <si>
    <t>D2</t>
  </si>
  <si>
    <t>Dry</t>
  </si>
  <si>
    <t>Calving</t>
  </si>
  <si>
    <t>Autumn</t>
  </si>
  <si>
    <t>Spring</t>
  </si>
  <si>
    <t>Calve</t>
  </si>
  <si>
    <t>Died</t>
  </si>
  <si>
    <t>End</t>
  </si>
  <si>
    <t>Culled / sold</t>
  </si>
  <si>
    <t>Teff</t>
  </si>
  <si>
    <t>Dairy 1</t>
  </si>
  <si>
    <t>Dairy 2</t>
  </si>
  <si>
    <t>P</t>
  </si>
  <si>
    <t>Lime</t>
  </si>
  <si>
    <t>Potassium Sulphate</t>
  </si>
  <si>
    <t>Potassium Chloride</t>
  </si>
  <si>
    <t>Milk Flow</t>
  </si>
  <si>
    <t>Days</t>
  </si>
  <si>
    <t>L/day</t>
  </si>
  <si>
    <t>Lactation</t>
  </si>
  <si>
    <t>Peak</t>
  </si>
  <si>
    <t>Decline</t>
  </si>
  <si>
    <t>Month 1</t>
  </si>
  <si>
    <t>Month 2</t>
  </si>
  <si>
    <t>Month 3</t>
  </si>
  <si>
    <t>Month 4</t>
  </si>
  <si>
    <t>Month 5</t>
  </si>
  <si>
    <t>Month 6</t>
  </si>
  <si>
    <t>Month 7</t>
  </si>
  <si>
    <t>Month 8</t>
  </si>
  <si>
    <t>Month 9</t>
  </si>
  <si>
    <t>Month 10</t>
  </si>
  <si>
    <t>Month 11</t>
  </si>
  <si>
    <t>Month 12</t>
  </si>
  <si>
    <t>Oversow</t>
  </si>
  <si>
    <t>Renovate</t>
  </si>
  <si>
    <t>Forrage Rape</t>
  </si>
  <si>
    <t>Nothing</t>
  </si>
  <si>
    <t>Fort Hare Dairy Trust</t>
  </si>
  <si>
    <t>Milk to Staff</t>
  </si>
  <si>
    <t>Milk to Calves</t>
  </si>
  <si>
    <t>Milk Sold</t>
  </si>
  <si>
    <t>Red Clover</t>
  </si>
  <si>
    <t>White Clover</t>
  </si>
  <si>
    <t>Plantaine</t>
  </si>
  <si>
    <t>Kg Urea</t>
  </si>
  <si>
    <t>Kg 1.1.1</t>
  </si>
  <si>
    <t>g/litre</t>
  </si>
  <si>
    <t>Fallow</t>
  </si>
  <si>
    <t>Cow Leases</t>
  </si>
  <si>
    <t>Irrigation</t>
  </si>
  <si>
    <t>Dryland Kik/Rye</t>
  </si>
  <si>
    <t>Dryland Veld</t>
  </si>
  <si>
    <t>Brewers Grain</t>
  </si>
  <si>
    <t>Citrus Pulp</t>
  </si>
  <si>
    <t>Ground Rental - Trust</t>
  </si>
  <si>
    <t>Ground Rental - Other</t>
  </si>
  <si>
    <t>Equipment Rental</t>
  </si>
  <si>
    <t>HP's</t>
  </si>
  <si>
    <t>Bond</t>
  </si>
  <si>
    <t>Irr - Kik/Chic/Oats</t>
  </si>
  <si>
    <t>Dry - Kik/Chic/Oats</t>
  </si>
  <si>
    <t>Dry - Kik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</si>
</sst>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_ ;[Red]\-#,##0\ "/>
    <numFmt numFmtId="166" formatCode="#,##0.0000"/>
    <numFmt numFmtId="167" formatCode="0.0"/>
    <numFmt numFmtId="168" formatCode="0.0%"/>
    <numFmt numFmtId="169" formatCode="_ * #,##0.00_ ;_ * \-#,##0.00_ ;_ * &quot;-&quot;??_ ;_ @_ "/>
  </numFmts>
  <fonts count="39" x14ac:knownFonts="1">
    <font>
      <sz val="10"/>
      <name val="Times New Roman"/>
      <family val="1"/>
    </font>
    <font>
      <sz val="11"/>
      <color theme="1"/>
      <name val="Calibri"/>
      <family val="2"/>
      <scheme val="minor"/>
    </font>
    <font>
      <sz val="10"/>
      <name val="Arial"/>
      <family val="2"/>
    </font>
    <font>
      <sz val="10"/>
      <name val="Times New Roman"/>
      <family val="1"/>
    </font>
    <font>
      <b/>
      <sz val="10"/>
      <name val="Times New Roman"/>
      <family val="1"/>
    </font>
    <font>
      <sz val="11"/>
      <name val="Calibri"/>
      <family val="2"/>
    </font>
    <font>
      <sz val="14"/>
      <name val="Times New Roman"/>
      <family val="1"/>
    </font>
    <font>
      <b/>
      <sz val="11"/>
      <name val="Calibri"/>
      <family val="2"/>
    </font>
    <font>
      <b/>
      <sz val="12"/>
      <name val="Calibri"/>
      <family val="2"/>
    </font>
    <font>
      <sz val="7"/>
      <name val="Times New Roman"/>
      <family val="1"/>
    </font>
    <font>
      <b/>
      <sz val="7"/>
      <name val="Times New Roman"/>
      <family val="1"/>
    </font>
    <font>
      <sz val="11"/>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sz val="12"/>
      <name val="Calibri"/>
      <family val="2"/>
      <scheme val="minor"/>
    </font>
    <font>
      <b/>
      <sz val="14"/>
      <name val="Calibri"/>
      <family val="2"/>
      <scheme val="minor"/>
    </font>
    <font>
      <b/>
      <u/>
      <sz val="12"/>
      <color theme="10"/>
      <name val="Calibri"/>
      <family val="2"/>
      <scheme val="minor"/>
    </font>
    <font>
      <b/>
      <sz val="12"/>
      <name val="Calibri"/>
      <family val="2"/>
      <scheme val="minor"/>
    </font>
    <font>
      <b/>
      <i/>
      <sz val="10"/>
      <name val="Calibri"/>
      <family val="2"/>
      <scheme val="minor"/>
    </font>
    <font>
      <b/>
      <sz val="8"/>
      <name val="Calibri"/>
      <family val="2"/>
      <scheme val="minor"/>
    </font>
    <font>
      <sz val="8"/>
      <name val="Calibri"/>
      <family val="2"/>
      <scheme val="minor"/>
    </font>
    <font>
      <u/>
      <sz val="8"/>
      <name val="Calibri"/>
      <family val="2"/>
      <scheme val="minor"/>
    </font>
    <font>
      <i/>
      <sz val="10"/>
      <name val="Calibri"/>
      <family val="2"/>
      <scheme val="minor"/>
    </font>
    <font>
      <b/>
      <u/>
      <sz val="12"/>
      <color theme="10"/>
      <name val="Calibri"/>
      <family val="2"/>
    </font>
    <font>
      <b/>
      <u/>
      <sz val="11"/>
      <color theme="10"/>
      <name val="Calibri"/>
      <family val="2"/>
    </font>
    <font>
      <b/>
      <sz val="10"/>
      <name val="Calibri"/>
      <family val="2"/>
    </font>
    <font>
      <b/>
      <sz val="9"/>
      <name val="Calibri"/>
      <family val="2"/>
      <scheme val="minor"/>
    </font>
    <font>
      <b/>
      <u/>
      <sz val="9"/>
      <color theme="10"/>
      <name val="Calibri"/>
      <family val="2"/>
    </font>
    <font>
      <sz val="9"/>
      <name val="Times New Roman"/>
      <family val="1"/>
    </font>
    <font>
      <b/>
      <u/>
      <sz val="10"/>
      <name val="Times New Roman"/>
      <family val="1"/>
    </font>
    <font>
      <b/>
      <u/>
      <sz val="10"/>
      <name val="Calibri"/>
      <family val="2"/>
      <scheme val="minor"/>
    </font>
    <font>
      <sz val="10"/>
      <color rgb="FFFF0000"/>
      <name val="Calibri"/>
      <family val="2"/>
      <scheme val="minor"/>
    </font>
    <font>
      <b/>
      <u/>
      <sz val="11"/>
      <name val="Times New Roman"/>
      <family val="1"/>
    </font>
    <font>
      <sz val="9"/>
      <color indexed="81"/>
      <name val="Tahoma"/>
      <family val="2"/>
    </font>
    <font>
      <b/>
      <sz val="9"/>
      <color indexed="81"/>
      <name val="Tahoma"/>
      <family val="2"/>
    </font>
    <font>
      <u/>
      <sz val="11"/>
      <color theme="10"/>
      <name val="Calibri"/>
      <family val="2"/>
      <scheme val="minor"/>
    </font>
    <font>
      <b/>
      <u/>
      <sz val="12"/>
      <name val="Calibri"/>
      <family val="2"/>
      <scheme val="minor"/>
    </font>
  </fonts>
  <fills count="2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5" tint="0.39997558519241921"/>
        <bgColor indexed="64"/>
      </patternFill>
    </fill>
  </fills>
  <borders count="1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style="medium">
        <color auto="1"/>
      </left>
      <right style="medium">
        <color auto="1"/>
      </right>
      <top/>
      <bottom/>
      <diagonal/>
    </border>
    <border>
      <left style="medium">
        <color auto="1"/>
      </left>
      <right style="medium">
        <color auto="1"/>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diagonal/>
    </border>
    <border>
      <left style="medium">
        <color indexed="64"/>
      </left>
      <right style="hair">
        <color indexed="64"/>
      </right>
      <top style="thin">
        <color indexed="64"/>
      </top>
      <bottom style="medium">
        <color indexed="64"/>
      </bottom>
      <diagonal/>
    </border>
    <border>
      <left style="dotted">
        <color auto="1"/>
      </left>
      <right style="dotted">
        <color auto="1"/>
      </right>
      <top style="dotted">
        <color auto="1"/>
      </top>
      <bottom style="dotted">
        <color auto="1"/>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style="dotted">
        <color auto="1"/>
      </right>
      <top/>
      <bottom style="medium">
        <color indexed="64"/>
      </bottom>
      <diagonal/>
    </border>
    <border>
      <left style="dotted">
        <color auto="1"/>
      </left>
      <right style="dotted">
        <color auto="1"/>
      </right>
      <top/>
      <bottom style="medium">
        <color indexed="64"/>
      </bottom>
      <diagonal/>
    </border>
    <border>
      <left style="medium">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medium">
        <color indexed="64"/>
      </left>
      <right style="dotted">
        <color auto="1"/>
      </right>
      <top style="medium">
        <color indexed="64"/>
      </top>
      <bottom/>
      <diagonal/>
    </border>
    <border>
      <left style="dotted">
        <color auto="1"/>
      </left>
      <right style="dotted">
        <color auto="1"/>
      </right>
      <top style="medium">
        <color indexed="64"/>
      </top>
      <bottom/>
      <diagonal/>
    </border>
    <border>
      <left style="dotted">
        <color auto="1"/>
      </left>
      <right style="medium">
        <color indexed="64"/>
      </right>
      <top style="medium">
        <color indexed="64"/>
      </top>
      <bottom/>
      <diagonal/>
    </border>
    <border>
      <left style="medium">
        <color indexed="64"/>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medium">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style="medium">
        <color indexed="64"/>
      </right>
      <top style="thin">
        <color indexed="64"/>
      </top>
      <bottom style="thin">
        <color indexed="64"/>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medium">
        <color auto="1"/>
      </top>
      <bottom/>
      <diagonal/>
    </border>
    <border>
      <left style="dashed">
        <color auto="1"/>
      </left>
      <right style="dashed">
        <color auto="1"/>
      </right>
      <top style="medium">
        <color auto="1"/>
      </top>
      <bottom/>
      <diagonal/>
    </border>
    <border>
      <left style="dashed">
        <color auto="1"/>
      </left>
      <right style="medium">
        <color auto="1"/>
      </right>
      <top style="medium">
        <color auto="1"/>
      </top>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
      <left style="dashed">
        <color auto="1"/>
      </left>
      <right style="medium">
        <color auto="1"/>
      </right>
      <top style="thin">
        <color indexed="64"/>
      </top>
      <bottom style="thin">
        <color indexed="64"/>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medium">
        <color auto="1"/>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dotted">
        <color auto="1"/>
      </left>
      <right/>
      <top/>
      <bottom style="medium">
        <color indexed="64"/>
      </bottom>
      <diagonal/>
    </border>
    <border>
      <left style="dashed">
        <color auto="1"/>
      </left>
      <right/>
      <top/>
      <bottom style="medium">
        <color auto="1"/>
      </bottom>
      <diagonal/>
    </border>
    <border>
      <left style="dotted">
        <color auto="1"/>
      </left>
      <right style="medium">
        <color indexed="64"/>
      </right>
      <top style="dotted">
        <color auto="1"/>
      </top>
      <bottom/>
      <diagonal/>
    </border>
    <border>
      <left style="dashed">
        <color auto="1"/>
      </left>
      <right style="medium">
        <color auto="1"/>
      </right>
      <top style="dashed">
        <color auto="1"/>
      </top>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hair">
        <color indexed="64"/>
      </top>
      <bottom/>
      <diagonal/>
    </border>
    <border>
      <left/>
      <right style="thin">
        <color auto="1"/>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hair">
        <color indexed="64"/>
      </top>
      <bottom/>
      <diagonal/>
    </border>
    <border>
      <left style="hair">
        <color auto="1"/>
      </left>
      <right style="medium">
        <color auto="1"/>
      </right>
      <top style="medium">
        <color auto="1"/>
      </top>
      <bottom/>
      <diagonal/>
    </border>
  </borders>
  <cellStyleXfs count="10">
    <xf numFmtId="3" fontId="0" fillId="0" borderId="0"/>
    <xf numFmtId="0" fontId="25" fillId="0" borderId="0" applyNumberFormat="0" applyFill="0" applyBorder="0" applyAlignment="0" applyProtection="0"/>
    <xf numFmtId="0" fontId="3" fillId="0" borderId="0"/>
    <xf numFmtId="0" fontId="11" fillId="0" borderId="0"/>
    <xf numFmtId="9" fontId="2"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xf numFmtId="169" fontId="1" fillId="0" borderId="0" applyFont="0" applyFill="0" applyBorder="0" applyAlignment="0" applyProtection="0"/>
  </cellStyleXfs>
  <cellXfs count="879">
    <xf numFmtId="3" fontId="0" fillId="0" borderId="0" xfId="0"/>
    <xf numFmtId="3" fontId="0" fillId="2" borderId="1" xfId="0" applyFill="1" applyBorder="1"/>
    <xf numFmtId="3" fontId="12" fillId="0" borderId="0" xfId="0" applyFont="1"/>
    <xf numFmtId="3" fontId="13" fillId="0" borderId="0" xfId="0" applyFont="1"/>
    <xf numFmtId="3" fontId="0" fillId="0" borderId="0" xfId="0" applyFill="1"/>
    <xf numFmtId="3" fontId="14" fillId="0" borderId="0" xfId="0" applyFont="1"/>
    <xf numFmtId="3" fontId="6" fillId="0" borderId="0" xfId="0" applyFont="1"/>
    <xf numFmtId="3" fontId="16" fillId="0" borderId="0" xfId="0" applyFont="1"/>
    <xf numFmtId="3" fontId="16" fillId="4" borderId="0" xfId="0" quotePrefix="1" applyFont="1" applyFill="1"/>
    <xf numFmtId="3" fontId="16" fillId="4" borderId="0" xfId="0" applyFont="1" applyFill="1"/>
    <xf numFmtId="3" fontId="16" fillId="0" borderId="0" xfId="0" applyFont="1" applyFill="1"/>
    <xf numFmtId="3" fontId="17" fillId="0" borderId="0" xfId="0" applyFont="1"/>
    <xf numFmtId="3" fontId="12" fillId="0" borderId="0" xfId="0" applyFont="1" applyFill="1"/>
    <xf numFmtId="3" fontId="12" fillId="5" borderId="0" xfId="0" applyFont="1" applyFill="1"/>
    <xf numFmtId="3" fontId="12" fillId="6" borderId="0" xfId="0" applyFont="1" applyFill="1" applyBorder="1"/>
    <xf numFmtId="3" fontId="13" fillId="5" borderId="0" xfId="0" applyFont="1" applyFill="1"/>
    <xf numFmtId="3" fontId="19" fillId="0" borderId="0" xfId="0" applyFont="1"/>
    <xf numFmtId="3" fontId="14" fillId="0" borderId="0" xfId="0" applyFont="1" applyFill="1"/>
    <xf numFmtId="3" fontId="0" fillId="2" borderId="3" xfId="0" applyFill="1" applyBorder="1"/>
    <xf numFmtId="3" fontId="13" fillId="7" borderId="4" xfId="0" applyFont="1" applyFill="1" applyBorder="1" applyAlignment="1">
      <alignment horizontal="center"/>
    </xf>
    <xf numFmtId="3" fontId="13" fillId="7" borderId="4" xfId="0" applyFont="1" applyFill="1" applyBorder="1" applyAlignment="1">
      <alignment horizontal="center" vertical="center"/>
    </xf>
    <xf numFmtId="3" fontId="12" fillId="0" borderId="0" xfId="0" applyFont="1" applyFill="1" applyBorder="1" applyAlignment="1">
      <alignment horizontal="center" vertical="center"/>
    </xf>
    <xf numFmtId="3" fontId="20" fillId="0" borderId="0" xfId="0" applyFont="1"/>
    <xf numFmtId="3" fontId="12" fillId="0" borderId="5" xfId="0" applyFont="1" applyBorder="1"/>
    <xf numFmtId="3" fontId="12" fillId="0" borderId="0" xfId="0" applyFont="1" applyFill="1" applyBorder="1"/>
    <xf numFmtId="3" fontId="12" fillId="0" borderId="0" xfId="0" applyFont="1" applyAlignment="1">
      <alignment horizontal="left"/>
    </xf>
    <xf numFmtId="3" fontId="13" fillId="7" borderId="8" xfId="0" applyFont="1" applyFill="1" applyBorder="1"/>
    <xf numFmtId="3" fontId="12" fillId="7" borderId="4" xfId="0" applyFont="1" applyFill="1" applyBorder="1"/>
    <xf numFmtId="3" fontId="12" fillId="7" borderId="9" xfId="0" applyFont="1" applyFill="1" applyBorder="1"/>
    <xf numFmtId="3" fontId="13" fillId="7" borderId="10" xfId="0" applyFont="1" applyFill="1" applyBorder="1" applyAlignment="1">
      <alignment horizontal="center"/>
    </xf>
    <xf numFmtId="3" fontId="21" fillId="7" borderId="11" xfId="0" applyFont="1" applyFill="1" applyBorder="1"/>
    <xf numFmtId="3" fontId="12" fillId="7" borderId="12" xfId="0" applyFont="1" applyFill="1" applyBorder="1"/>
    <xf numFmtId="3" fontId="12" fillId="7" borderId="13" xfId="0" applyFont="1" applyFill="1" applyBorder="1"/>
    <xf numFmtId="3" fontId="22" fillId="7" borderId="12" xfId="0" applyFont="1" applyFill="1" applyBorder="1" applyAlignment="1">
      <alignment horizontal="center"/>
    </xf>
    <xf numFmtId="3" fontId="22" fillId="7" borderId="14" xfId="0" applyFont="1" applyFill="1" applyBorder="1" applyAlignment="1">
      <alignment horizontal="center"/>
    </xf>
    <xf numFmtId="3" fontId="19" fillId="6" borderId="15" xfId="0" applyFont="1" applyFill="1" applyBorder="1"/>
    <xf numFmtId="3" fontId="12" fillId="6" borderId="0" xfId="0" applyFont="1" applyFill="1" applyBorder="1" applyAlignment="1">
      <alignment horizontal="right"/>
    </xf>
    <xf numFmtId="3" fontId="13" fillId="6" borderId="15" xfId="0" applyFont="1" applyFill="1" applyBorder="1"/>
    <xf numFmtId="3" fontId="12" fillId="2" borderId="3" xfId="0" applyFont="1" applyFill="1" applyBorder="1"/>
    <xf numFmtId="3" fontId="12" fillId="2" borderId="3" xfId="0" applyFont="1" applyFill="1" applyBorder="1" applyAlignment="1">
      <alignment horizontal="right"/>
    </xf>
    <xf numFmtId="3" fontId="13" fillId="2" borderId="15" xfId="0" applyFont="1" applyFill="1" applyBorder="1"/>
    <xf numFmtId="3" fontId="12" fillId="2" borderId="0" xfId="0" applyFont="1" applyFill="1" applyBorder="1"/>
    <xf numFmtId="3" fontId="12" fillId="2" borderId="16" xfId="0" applyFont="1" applyFill="1" applyBorder="1"/>
    <xf numFmtId="3" fontId="22" fillId="0" borderId="0" xfId="0" applyFont="1" applyFill="1" applyAlignment="1">
      <alignment horizontal="center"/>
    </xf>
    <xf numFmtId="3" fontId="12" fillId="2" borderId="15" xfId="0" applyFont="1" applyFill="1" applyBorder="1"/>
    <xf numFmtId="3" fontId="22" fillId="2" borderId="16" xfId="0" applyFont="1" applyFill="1" applyBorder="1"/>
    <xf numFmtId="164" fontId="22" fillId="0" borderId="0" xfId="0" applyNumberFormat="1" applyFont="1" applyFill="1" applyBorder="1" applyAlignment="1">
      <alignment horizontal="center"/>
    </xf>
    <xf numFmtId="3" fontId="12" fillId="0" borderId="0" xfId="0" applyNumberFormat="1" applyFont="1" applyFill="1" applyBorder="1"/>
    <xf numFmtId="164" fontId="23" fillId="0" borderId="0" xfId="0" applyNumberFormat="1" applyFont="1" applyFill="1" applyBorder="1" applyAlignment="1">
      <alignment horizontal="center"/>
    </xf>
    <xf numFmtId="3" fontId="12" fillId="2" borderId="17" xfId="0" applyFont="1" applyFill="1" applyBorder="1"/>
    <xf numFmtId="3" fontId="12" fillId="2" borderId="1" xfId="0" applyFont="1" applyFill="1" applyBorder="1"/>
    <xf numFmtId="3" fontId="13" fillId="2" borderId="18" xfId="0" applyFont="1" applyFill="1" applyBorder="1"/>
    <xf numFmtId="3" fontId="12" fillId="2" borderId="19" xfId="0" applyFont="1" applyFill="1" applyBorder="1"/>
    <xf numFmtId="3" fontId="12" fillId="2" borderId="20" xfId="0" applyFont="1" applyFill="1" applyBorder="1"/>
    <xf numFmtId="3" fontId="12" fillId="2" borderId="21" xfId="0" applyFont="1" applyFill="1" applyBorder="1"/>
    <xf numFmtId="3" fontId="12" fillId="9" borderId="19" xfId="0" applyFont="1" applyFill="1" applyBorder="1"/>
    <xf numFmtId="3" fontId="13" fillId="9" borderId="15" xfId="0" applyFont="1" applyFill="1" applyBorder="1"/>
    <xf numFmtId="3" fontId="13" fillId="9" borderId="0" xfId="0" applyFont="1" applyFill="1" applyBorder="1"/>
    <xf numFmtId="3" fontId="12" fillId="9" borderId="0" xfId="0" applyFont="1" applyFill="1" applyBorder="1"/>
    <xf numFmtId="3" fontId="12" fillId="9" borderId="15" xfId="0" applyFont="1" applyFill="1" applyBorder="1"/>
    <xf numFmtId="3" fontId="12" fillId="9" borderId="0" xfId="0" applyFont="1" applyFill="1"/>
    <xf numFmtId="3" fontId="13" fillId="9" borderId="18" xfId="0" applyFont="1" applyFill="1" applyBorder="1"/>
    <xf numFmtId="3" fontId="13" fillId="9" borderId="22" xfId="0" applyFont="1" applyFill="1" applyBorder="1"/>
    <xf numFmtId="3" fontId="12" fillId="9" borderId="23" xfId="0" applyFont="1" applyFill="1" applyBorder="1"/>
    <xf numFmtId="3" fontId="12" fillId="0" borderId="0" xfId="0" applyFont="1" applyBorder="1"/>
    <xf numFmtId="3" fontId="13" fillId="0" borderId="3" xfId="0" applyFont="1" applyFill="1" applyBorder="1"/>
    <xf numFmtId="3" fontId="12" fillId="0" borderId="3" xfId="0" applyFont="1" applyFill="1" applyBorder="1"/>
    <xf numFmtId="3" fontId="12" fillId="0" borderId="3" xfId="0" applyNumberFormat="1" applyFont="1" applyFill="1" applyBorder="1"/>
    <xf numFmtId="3" fontId="12" fillId="0" borderId="5" xfId="0" applyNumberFormat="1" applyFont="1" applyFill="1" applyBorder="1"/>
    <xf numFmtId="166" fontId="24" fillId="0" borderId="5" xfId="0" applyNumberFormat="1" applyFont="1" applyBorder="1"/>
    <xf numFmtId="3" fontId="12" fillId="0" borderId="7" xfId="0" applyNumberFormat="1" applyFont="1" applyFill="1" applyBorder="1"/>
    <xf numFmtId="166" fontId="24" fillId="0" borderId="7" xfId="0" applyNumberFormat="1" applyFont="1" applyBorder="1"/>
    <xf numFmtId="3" fontId="12" fillId="0" borderId="20" xfId="0" applyNumberFormat="1" applyFont="1" applyFill="1" applyBorder="1"/>
    <xf numFmtId="166" fontId="24" fillId="0" borderId="24" xfId="0" applyNumberFormat="1" applyFont="1" applyBorder="1"/>
    <xf numFmtId="3" fontId="12" fillId="0" borderId="16" xfId="0" applyNumberFormat="1" applyFont="1" applyFill="1" applyBorder="1"/>
    <xf numFmtId="166" fontId="24" fillId="0" borderId="25" xfId="0" applyNumberFormat="1" applyFont="1" applyBorder="1"/>
    <xf numFmtId="3" fontId="12" fillId="0" borderId="16" xfId="0" applyFont="1" applyFill="1" applyBorder="1"/>
    <xf numFmtId="3" fontId="12" fillId="2" borderId="16" xfId="0" applyNumberFormat="1" applyFont="1" applyFill="1" applyBorder="1"/>
    <xf numFmtId="3" fontId="12" fillId="2" borderId="7" xfId="0" applyFont="1" applyFill="1" applyBorder="1"/>
    <xf numFmtId="1" fontId="12" fillId="2" borderId="7" xfId="4" applyNumberFormat="1" applyFont="1" applyFill="1" applyBorder="1"/>
    <xf numFmtId="1" fontId="12" fillId="2" borderId="25" xfId="4" applyNumberFormat="1" applyFont="1" applyFill="1" applyBorder="1"/>
    <xf numFmtId="3" fontId="12" fillId="2" borderId="7" xfId="0" applyNumberFormat="1" applyFont="1" applyFill="1" applyBorder="1"/>
    <xf numFmtId="3" fontId="12" fillId="2" borderId="26" xfId="0" applyFont="1" applyFill="1" applyBorder="1"/>
    <xf numFmtId="3" fontId="12" fillId="2" borderId="6" xfId="0" applyFont="1" applyFill="1" applyBorder="1"/>
    <xf numFmtId="1" fontId="12" fillId="2" borderId="6" xfId="4" applyNumberFormat="1" applyFont="1" applyFill="1" applyBorder="1"/>
    <xf numFmtId="1" fontId="12" fillId="2" borderId="27" xfId="4" applyNumberFormat="1" applyFont="1" applyFill="1" applyBorder="1"/>
    <xf numFmtId="3" fontId="13" fillId="7" borderId="4" xfId="0" applyFont="1" applyFill="1" applyBorder="1" applyAlignment="1">
      <alignment horizontal="center" wrapText="1"/>
    </xf>
    <xf numFmtId="3" fontId="12" fillId="0" borderId="24" xfId="0" applyFont="1" applyBorder="1"/>
    <xf numFmtId="1" fontId="13" fillId="0" borderId="7" xfId="4" applyNumberFormat="1" applyFont="1" applyBorder="1"/>
    <xf numFmtId="3" fontId="13" fillId="0" borderId="25" xfId="0" applyFont="1" applyBorder="1"/>
    <xf numFmtId="3" fontId="13" fillId="0" borderId="7" xfId="0" applyFont="1" applyBorder="1"/>
    <xf numFmtId="1" fontId="13" fillId="0" borderId="6" xfId="4" applyNumberFormat="1" applyFont="1" applyBorder="1"/>
    <xf numFmtId="3" fontId="13" fillId="0" borderId="27" xfId="0" applyFont="1" applyBorder="1"/>
    <xf numFmtId="3" fontId="13" fillId="6" borderId="28" xfId="0" applyFont="1" applyFill="1" applyBorder="1"/>
    <xf numFmtId="3" fontId="12" fillId="6" borderId="3" xfId="0" applyFont="1" applyFill="1" applyBorder="1"/>
    <xf numFmtId="3" fontId="12" fillId="6" borderId="29" xfId="0" applyFont="1" applyFill="1" applyBorder="1"/>
    <xf numFmtId="3" fontId="12" fillId="6" borderId="30" xfId="0" applyFont="1" applyFill="1" applyBorder="1"/>
    <xf numFmtId="3" fontId="12" fillId="6" borderId="15" xfId="0" applyFont="1" applyFill="1" applyBorder="1"/>
    <xf numFmtId="3" fontId="12" fillId="6" borderId="0" xfId="0" applyFont="1" applyFill="1" applyBorder="1" applyAlignment="1">
      <alignment horizontal="left"/>
    </xf>
    <xf numFmtId="164" fontId="12" fillId="6" borderId="0" xfId="0" applyNumberFormat="1" applyFont="1" applyFill="1" applyBorder="1"/>
    <xf numFmtId="3" fontId="12" fillId="6" borderId="0" xfId="0" applyFont="1" applyFill="1" applyBorder="1" applyAlignment="1">
      <alignment horizontal="left" indent="3"/>
    </xf>
    <xf numFmtId="3" fontId="12" fillId="6" borderId="0" xfId="0" applyFont="1" applyFill="1" applyBorder="1" applyAlignment="1">
      <alignment horizontal="center"/>
    </xf>
    <xf numFmtId="3" fontId="12" fillId="6" borderId="22" xfId="0" applyFont="1" applyFill="1" applyBorder="1"/>
    <xf numFmtId="3" fontId="12" fillId="6" borderId="23" xfId="0" applyFont="1" applyFill="1" applyBorder="1"/>
    <xf numFmtId="3" fontId="12" fillId="6" borderId="23" xfId="0" applyFont="1" applyFill="1" applyBorder="1" applyAlignment="1">
      <alignment horizontal="left"/>
    </xf>
    <xf numFmtId="164" fontId="12" fillId="6" borderId="23" xfId="0" applyNumberFormat="1" applyFont="1" applyFill="1" applyBorder="1"/>
    <xf numFmtId="3" fontId="12" fillId="6" borderId="23" xfId="0" applyFont="1" applyFill="1" applyBorder="1" applyAlignment="1">
      <alignment horizontal="left" indent="3"/>
    </xf>
    <xf numFmtId="3" fontId="12" fillId="6" borderId="23" xfId="0" applyFont="1" applyFill="1" applyBorder="1" applyAlignment="1">
      <alignment horizontal="center"/>
    </xf>
    <xf numFmtId="3" fontId="12" fillId="6" borderId="31" xfId="0" applyFont="1" applyFill="1" applyBorder="1"/>
    <xf numFmtId="3" fontId="12" fillId="6" borderId="32" xfId="0" applyFont="1" applyFill="1" applyBorder="1"/>
    <xf numFmtId="3" fontId="22" fillId="6" borderId="33" xfId="0" applyFont="1" applyFill="1" applyBorder="1" applyAlignment="1">
      <alignment horizontal="center"/>
    </xf>
    <xf numFmtId="3" fontId="12" fillId="6" borderId="33" xfId="0" applyFont="1" applyFill="1" applyBorder="1" applyAlignment="1">
      <alignment horizontal="right"/>
    </xf>
    <xf numFmtId="3" fontId="12" fillId="6" borderId="34" xfId="0" applyFont="1" applyFill="1" applyBorder="1" applyAlignment="1">
      <alignment horizontal="center"/>
    </xf>
    <xf numFmtId="3" fontId="12" fillId="6" borderId="35" xfId="0" applyFont="1" applyFill="1" applyBorder="1"/>
    <xf numFmtId="3" fontId="22" fillId="6" borderId="36" xfId="0" applyFont="1" applyFill="1" applyBorder="1" applyAlignment="1">
      <alignment horizontal="center"/>
    </xf>
    <xf numFmtId="3" fontId="12" fillId="6" borderId="36" xfId="0" applyFont="1" applyFill="1" applyBorder="1" applyAlignment="1">
      <alignment horizontal="right"/>
    </xf>
    <xf numFmtId="164" fontId="12" fillId="6" borderId="37" xfId="0" applyNumberFormat="1" applyFont="1" applyFill="1" applyBorder="1"/>
    <xf numFmtId="3" fontId="12" fillId="6" borderId="38" xfId="0" applyFont="1" applyFill="1" applyBorder="1"/>
    <xf numFmtId="3" fontId="22" fillId="6" borderId="39" xfId="0" applyFont="1" applyFill="1" applyBorder="1" applyAlignment="1">
      <alignment horizontal="center"/>
    </xf>
    <xf numFmtId="3" fontId="12" fillId="6" borderId="39" xfId="0" applyFont="1" applyFill="1" applyBorder="1" applyAlignment="1">
      <alignment horizontal="right"/>
    </xf>
    <xf numFmtId="164" fontId="12" fillId="6" borderId="40" xfId="0" applyNumberFormat="1" applyFont="1" applyFill="1" applyBorder="1"/>
    <xf numFmtId="3" fontId="19" fillId="2" borderId="28" xfId="0" applyFont="1" applyFill="1" applyBorder="1" applyAlignment="1">
      <alignment vertical="center"/>
    </xf>
    <xf numFmtId="3" fontId="19" fillId="9" borderId="18" xfId="0" applyFont="1" applyFill="1" applyBorder="1" applyAlignment="1">
      <alignment vertical="center"/>
    </xf>
    <xf numFmtId="3" fontId="12" fillId="9" borderId="1" xfId="0" applyFont="1" applyFill="1" applyBorder="1"/>
    <xf numFmtId="3" fontId="12" fillId="9" borderId="17" xfId="0" applyFont="1" applyFill="1" applyBorder="1"/>
    <xf numFmtId="3" fontId="12" fillId="2" borderId="41" xfId="0" applyFont="1" applyFill="1" applyBorder="1"/>
    <xf numFmtId="3" fontId="22" fillId="2" borderId="41" xfId="0" applyFont="1" applyFill="1" applyBorder="1"/>
    <xf numFmtId="3" fontId="12" fillId="2" borderId="36" xfId="0" applyFont="1" applyFill="1" applyBorder="1"/>
    <xf numFmtId="3" fontId="22" fillId="2" borderId="36" xfId="0" applyFont="1" applyFill="1" applyBorder="1"/>
    <xf numFmtId="3" fontId="12" fillId="2" borderId="47" xfId="0" applyFont="1" applyFill="1" applyBorder="1"/>
    <xf numFmtId="3" fontId="22" fillId="2" borderId="47" xfId="0" applyFont="1" applyFill="1" applyBorder="1"/>
    <xf numFmtId="164" fontId="12" fillId="2" borderId="48" xfId="0" applyNumberFormat="1" applyFont="1" applyFill="1" applyBorder="1"/>
    <xf numFmtId="3" fontId="12" fillId="2" borderId="49" xfId="0" applyFont="1" applyFill="1" applyBorder="1"/>
    <xf numFmtId="3" fontId="12" fillId="2" borderId="35" xfId="0" applyFont="1" applyFill="1" applyBorder="1"/>
    <xf numFmtId="3" fontId="12" fillId="2" borderId="50" xfId="0" applyFont="1" applyFill="1" applyBorder="1"/>
    <xf numFmtId="3" fontId="12" fillId="2" borderId="48" xfId="0" applyFont="1" applyFill="1" applyBorder="1"/>
    <xf numFmtId="3" fontId="12" fillId="2" borderId="45" xfId="0" applyFont="1" applyFill="1" applyBorder="1"/>
    <xf numFmtId="3" fontId="12" fillId="2" borderId="37" xfId="0" applyFont="1" applyFill="1" applyBorder="1"/>
    <xf numFmtId="3" fontId="12" fillId="2" borderId="38" xfId="0" applyFont="1" applyFill="1" applyBorder="1"/>
    <xf numFmtId="3" fontId="22" fillId="2" borderId="39" xfId="0" applyFont="1" applyFill="1" applyBorder="1"/>
    <xf numFmtId="3" fontId="12" fillId="2" borderId="39" xfId="0" applyNumberFormat="1" applyFont="1" applyFill="1" applyBorder="1"/>
    <xf numFmtId="3" fontId="12" fillId="2" borderId="40" xfId="0" applyNumberFormat="1" applyFont="1" applyFill="1" applyBorder="1"/>
    <xf numFmtId="3" fontId="12" fillId="9" borderId="49" xfId="0" applyFont="1" applyFill="1" applyBorder="1"/>
    <xf numFmtId="3" fontId="22" fillId="9" borderId="41" xfId="0" applyFont="1" applyFill="1" applyBorder="1"/>
    <xf numFmtId="3" fontId="12" fillId="9" borderId="45" xfId="0" applyFont="1" applyFill="1" applyBorder="1"/>
    <xf numFmtId="3" fontId="12" fillId="9" borderId="35" xfId="0" applyFont="1" applyFill="1" applyBorder="1"/>
    <xf numFmtId="3" fontId="22" fillId="9" borderId="36" xfId="0" applyFont="1" applyFill="1" applyBorder="1"/>
    <xf numFmtId="3" fontId="22" fillId="9" borderId="43" xfId="0" applyFont="1" applyFill="1" applyBorder="1"/>
    <xf numFmtId="3" fontId="12" fillId="9" borderId="53" xfId="0" applyFont="1" applyFill="1" applyBorder="1"/>
    <xf numFmtId="3" fontId="12" fillId="9" borderId="54" xfId="0" applyFont="1" applyFill="1" applyBorder="1"/>
    <xf numFmtId="3" fontId="12" fillId="9" borderId="51" xfId="0" applyFont="1" applyFill="1" applyBorder="1"/>
    <xf numFmtId="3" fontId="22" fillId="9" borderId="47" xfId="0" applyFont="1" applyFill="1" applyBorder="1"/>
    <xf numFmtId="3" fontId="22" fillId="9" borderId="32" xfId="0" applyFont="1" applyFill="1" applyBorder="1"/>
    <xf numFmtId="3" fontId="12" fillId="9" borderId="34" xfId="0" applyFont="1" applyFill="1" applyBorder="1"/>
    <xf numFmtId="3" fontId="22" fillId="9" borderId="38" xfId="0" applyFont="1" applyFill="1" applyBorder="1"/>
    <xf numFmtId="3" fontId="12" fillId="9" borderId="40" xfId="0" applyFont="1" applyFill="1" applyBorder="1"/>
    <xf numFmtId="3" fontId="12" fillId="9" borderId="3" xfId="0" applyFont="1" applyFill="1" applyBorder="1"/>
    <xf numFmtId="3" fontId="12" fillId="9" borderId="56" xfId="0" applyFont="1" applyFill="1" applyBorder="1"/>
    <xf numFmtId="3" fontId="22" fillId="9" borderId="35" xfId="0" applyFont="1" applyFill="1" applyBorder="1"/>
    <xf numFmtId="3" fontId="22" fillId="9" borderId="1" xfId="0" applyFont="1" applyFill="1" applyBorder="1"/>
    <xf numFmtId="3" fontId="12" fillId="9" borderId="57" xfId="0" applyFont="1" applyFill="1" applyBorder="1"/>
    <xf numFmtId="3" fontId="12" fillId="9" borderId="30" xfId="0" applyFont="1" applyFill="1" applyBorder="1"/>
    <xf numFmtId="3" fontId="12" fillId="9" borderId="29" xfId="0" applyFont="1" applyFill="1" applyBorder="1"/>
    <xf numFmtId="3" fontId="12" fillId="7" borderId="58" xfId="0" applyFont="1" applyFill="1" applyBorder="1"/>
    <xf numFmtId="3" fontId="13" fillId="7" borderId="11" xfId="0" applyFont="1" applyFill="1" applyBorder="1" applyAlignment="1">
      <alignment vertical="center"/>
    </xf>
    <xf numFmtId="3" fontId="22" fillId="9" borderId="19" xfId="0" applyFont="1" applyFill="1" applyBorder="1"/>
    <xf numFmtId="3" fontId="12" fillId="5" borderId="0" xfId="0" applyFont="1" applyFill="1" applyBorder="1"/>
    <xf numFmtId="3" fontId="22" fillId="5" borderId="16" xfId="0" applyFont="1" applyFill="1" applyBorder="1"/>
    <xf numFmtId="3" fontId="12" fillId="5" borderId="19" xfId="0" applyFont="1" applyFill="1" applyBorder="1"/>
    <xf numFmtId="3" fontId="22" fillId="5" borderId="20" xfId="0" applyFont="1" applyFill="1" applyBorder="1"/>
    <xf numFmtId="3" fontId="12" fillId="5" borderId="16" xfId="0" applyFont="1" applyFill="1" applyBorder="1"/>
    <xf numFmtId="3" fontId="12" fillId="10" borderId="0" xfId="0" applyFont="1" applyFill="1" applyBorder="1"/>
    <xf numFmtId="3" fontId="12" fillId="10" borderId="16" xfId="0" applyFont="1" applyFill="1" applyBorder="1"/>
    <xf numFmtId="3" fontId="22" fillId="10" borderId="16" xfId="0" applyFont="1" applyFill="1" applyBorder="1"/>
    <xf numFmtId="165" fontId="12" fillId="10" borderId="0" xfId="0" applyNumberFormat="1" applyFont="1" applyFill="1" applyBorder="1"/>
    <xf numFmtId="3" fontId="12" fillId="10" borderId="1" xfId="0" applyFont="1" applyFill="1" applyBorder="1"/>
    <xf numFmtId="3" fontId="12" fillId="10" borderId="26" xfId="0" applyFont="1" applyFill="1" applyBorder="1"/>
    <xf numFmtId="3" fontId="13" fillId="10" borderId="15" xfId="0" applyFont="1" applyFill="1" applyBorder="1"/>
    <xf numFmtId="3" fontId="12" fillId="10" borderId="15" xfId="0" applyFont="1" applyFill="1" applyBorder="1"/>
    <xf numFmtId="3" fontId="12" fillId="10" borderId="17" xfId="0" applyFont="1" applyFill="1" applyBorder="1"/>
    <xf numFmtId="3" fontId="13" fillId="5" borderId="15" xfId="0" applyFont="1" applyFill="1" applyBorder="1"/>
    <xf numFmtId="3" fontId="12" fillId="5" borderId="15" xfId="0" applyFont="1" applyFill="1" applyBorder="1"/>
    <xf numFmtId="3" fontId="13" fillId="5" borderId="18" xfId="0" applyFont="1" applyFill="1" applyBorder="1"/>
    <xf numFmtId="3" fontId="12" fillId="5" borderId="17" xfId="0" applyFont="1" applyFill="1" applyBorder="1"/>
    <xf numFmtId="3" fontId="13" fillId="7" borderId="17" xfId="0" applyFont="1" applyFill="1" applyBorder="1"/>
    <xf numFmtId="3" fontId="12" fillId="7" borderId="1" xfId="0" applyFont="1" applyFill="1" applyBorder="1"/>
    <xf numFmtId="3" fontId="12" fillId="5" borderId="41" xfId="0" applyNumberFormat="1" applyFont="1" applyFill="1" applyBorder="1"/>
    <xf numFmtId="3" fontId="12" fillId="5" borderId="47" xfId="0" applyNumberFormat="1" applyFont="1" applyFill="1" applyBorder="1"/>
    <xf numFmtId="3" fontId="12" fillId="5" borderId="49" xfId="0" applyFont="1" applyFill="1" applyBorder="1"/>
    <xf numFmtId="3" fontId="12" fillId="5" borderId="41" xfId="0" applyFont="1" applyFill="1" applyBorder="1"/>
    <xf numFmtId="3" fontId="12" fillId="5" borderId="42" xfId="0" applyFont="1" applyFill="1" applyBorder="1"/>
    <xf numFmtId="3" fontId="12" fillId="5" borderId="50" xfId="0" applyFont="1" applyFill="1" applyBorder="1"/>
    <xf numFmtId="3" fontId="12" fillId="5" borderId="55" xfId="0" applyFont="1" applyFill="1" applyBorder="1"/>
    <xf numFmtId="3" fontId="12" fillId="5" borderId="59" xfId="0" applyFont="1" applyFill="1" applyBorder="1"/>
    <xf numFmtId="3" fontId="12" fillId="5" borderId="49" xfId="0" applyNumberFormat="1" applyFont="1" applyFill="1" applyBorder="1"/>
    <xf numFmtId="3" fontId="12" fillId="5" borderId="50" xfId="0" applyNumberFormat="1" applyFont="1" applyFill="1" applyBorder="1"/>
    <xf numFmtId="3" fontId="22" fillId="5" borderId="60" xfId="0" applyFont="1" applyFill="1" applyBorder="1"/>
    <xf numFmtId="3" fontId="22" fillId="5" borderId="61" xfId="0" applyFont="1" applyFill="1" applyBorder="1"/>
    <xf numFmtId="3" fontId="13" fillId="11" borderId="15" xfId="0" applyFont="1" applyFill="1" applyBorder="1"/>
    <xf numFmtId="3" fontId="12" fillId="11" borderId="0" xfId="0" applyFont="1" applyFill="1" applyBorder="1"/>
    <xf numFmtId="3" fontId="12" fillId="11" borderId="16" xfId="0" applyFont="1" applyFill="1" applyBorder="1"/>
    <xf numFmtId="3" fontId="12" fillId="11" borderId="15" xfId="0" applyFont="1" applyFill="1" applyBorder="1"/>
    <xf numFmtId="3" fontId="22" fillId="11" borderId="60" xfId="0" applyFont="1" applyFill="1" applyBorder="1"/>
    <xf numFmtId="3" fontId="12" fillId="11" borderId="49" xfId="0" applyFont="1" applyFill="1" applyBorder="1"/>
    <xf numFmtId="3" fontId="12" fillId="11" borderId="41" xfId="0" applyFont="1" applyFill="1" applyBorder="1"/>
    <xf numFmtId="3" fontId="22" fillId="11" borderId="61" xfId="0" applyFont="1" applyFill="1" applyBorder="1"/>
    <xf numFmtId="3" fontId="12" fillId="11" borderId="50" xfId="0" applyFont="1" applyFill="1" applyBorder="1"/>
    <xf numFmtId="3" fontId="12" fillId="11" borderId="47" xfId="0" applyFont="1" applyFill="1" applyBorder="1"/>
    <xf numFmtId="3" fontId="13" fillId="11" borderId="18" xfId="0" applyFont="1" applyFill="1" applyBorder="1"/>
    <xf numFmtId="3" fontId="12" fillId="11" borderId="19" xfId="0" applyFont="1" applyFill="1" applyBorder="1"/>
    <xf numFmtId="3" fontId="22" fillId="11" borderId="20" xfId="0" applyFont="1" applyFill="1" applyBorder="1"/>
    <xf numFmtId="3" fontId="12" fillId="11" borderId="44" xfId="0" applyFont="1" applyFill="1" applyBorder="1"/>
    <xf numFmtId="3" fontId="12" fillId="11" borderId="42" xfId="0" applyFont="1" applyFill="1" applyBorder="1"/>
    <xf numFmtId="3" fontId="12" fillId="11" borderId="62" xfId="0" applyFont="1" applyFill="1" applyBorder="1"/>
    <xf numFmtId="3" fontId="12" fillId="11" borderId="39" xfId="0" applyFont="1" applyFill="1" applyBorder="1"/>
    <xf numFmtId="3" fontId="12" fillId="11" borderId="63" xfId="0" applyFont="1" applyFill="1" applyBorder="1"/>
    <xf numFmtId="3" fontId="19" fillId="11" borderId="8" xfId="0" applyFont="1" applyFill="1" applyBorder="1"/>
    <xf numFmtId="3" fontId="12" fillId="11" borderId="4" xfId="0" applyFont="1" applyFill="1" applyBorder="1"/>
    <xf numFmtId="3" fontId="12" fillId="11" borderId="4" xfId="0" applyNumberFormat="1" applyFont="1" applyFill="1" applyBorder="1"/>
    <xf numFmtId="3" fontId="12" fillId="11" borderId="64" xfId="0" applyNumberFormat="1" applyFont="1" applyFill="1" applyBorder="1"/>
    <xf numFmtId="3" fontId="13" fillId="7" borderId="57" xfId="0" applyFont="1" applyFill="1" applyBorder="1" applyAlignment="1">
      <alignment horizontal="center"/>
    </xf>
    <xf numFmtId="3" fontId="12" fillId="5" borderId="30" xfId="0" applyFont="1" applyFill="1" applyBorder="1"/>
    <xf numFmtId="3" fontId="12" fillId="5" borderId="65" xfId="0" applyFont="1" applyFill="1" applyBorder="1"/>
    <xf numFmtId="3" fontId="12" fillId="5" borderId="66" xfId="0" applyNumberFormat="1" applyFont="1" applyFill="1" applyBorder="1"/>
    <xf numFmtId="3" fontId="12" fillId="5" borderId="67" xfId="0" applyFont="1" applyFill="1" applyBorder="1"/>
    <xf numFmtId="3" fontId="12" fillId="5" borderId="57" xfId="0" applyFont="1" applyFill="1" applyBorder="1"/>
    <xf numFmtId="3" fontId="12" fillId="10" borderId="30" xfId="0" applyFont="1" applyFill="1" applyBorder="1"/>
    <xf numFmtId="3" fontId="12" fillId="11" borderId="30" xfId="0" applyFont="1" applyFill="1" applyBorder="1"/>
    <xf numFmtId="3" fontId="12" fillId="11" borderId="65" xfId="0" applyFont="1" applyFill="1" applyBorder="1"/>
    <xf numFmtId="3" fontId="12" fillId="11" borderId="66" xfId="0" applyFont="1" applyFill="1" applyBorder="1"/>
    <xf numFmtId="3" fontId="12" fillId="11" borderId="67" xfId="0" applyFont="1" applyFill="1" applyBorder="1"/>
    <xf numFmtId="3" fontId="12" fillId="11" borderId="31" xfId="0" applyFont="1" applyFill="1" applyBorder="1"/>
    <xf numFmtId="3" fontId="12" fillId="5" borderId="42" xfId="0" applyNumberFormat="1" applyFont="1" applyFill="1" applyBorder="1"/>
    <xf numFmtId="3" fontId="12" fillId="5" borderId="55" xfId="0" applyNumberFormat="1" applyFont="1" applyFill="1" applyBorder="1"/>
    <xf numFmtId="3" fontId="12" fillId="5" borderId="20" xfId="0" applyFont="1" applyFill="1" applyBorder="1"/>
    <xf numFmtId="165" fontId="12" fillId="10" borderId="16" xfId="0" applyNumberFormat="1" applyFont="1" applyFill="1" applyBorder="1"/>
    <xf numFmtId="3" fontId="12" fillId="11" borderId="55" xfId="0" applyFont="1" applyFill="1" applyBorder="1"/>
    <xf numFmtId="3" fontId="12" fillId="11" borderId="20" xfId="0" applyFont="1" applyFill="1" applyBorder="1"/>
    <xf numFmtId="3" fontId="22" fillId="2" borderId="3" xfId="0" applyFont="1" applyFill="1" applyBorder="1" applyAlignment="1">
      <alignment horizontal="center"/>
    </xf>
    <xf numFmtId="164" fontId="12" fillId="2" borderId="29" xfId="0" applyNumberFormat="1" applyFont="1" applyFill="1" applyBorder="1"/>
    <xf numFmtId="3" fontId="22" fillId="2" borderId="30" xfId="0" applyFont="1" applyFill="1" applyBorder="1" applyAlignment="1">
      <alignment horizontal="center"/>
    </xf>
    <xf numFmtId="3" fontId="22" fillId="2" borderId="67" xfId="0" applyFont="1" applyFill="1" applyBorder="1" applyAlignment="1">
      <alignment horizontal="center"/>
    </xf>
    <xf numFmtId="3" fontId="12" fillId="5" borderId="32" xfId="0" applyFont="1" applyFill="1" applyBorder="1"/>
    <xf numFmtId="3" fontId="12" fillId="5" borderId="33" xfId="0" applyFont="1" applyFill="1" applyBorder="1"/>
    <xf numFmtId="3" fontId="12" fillId="5" borderId="35" xfId="0" applyFont="1" applyFill="1" applyBorder="1"/>
    <xf numFmtId="3" fontId="12" fillId="5" borderId="36" xfId="0" applyFont="1" applyFill="1" applyBorder="1"/>
    <xf numFmtId="3" fontId="13" fillId="5" borderId="81" xfId="0" applyFont="1" applyFill="1" applyBorder="1"/>
    <xf numFmtId="3" fontId="13" fillId="5" borderId="82" xfId="0" applyFont="1" applyFill="1" applyBorder="1"/>
    <xf numFmtId="3" fontId="13" fillId="5" borderId="84" xfId="0" applyFont="1" applyFill="1" applyBorder="1"/>
    <xf numFmtId="3" fontId="12" fillId="5" borderId="23" xfId="0" applyFont="1" applyFill="1" applyBorder="1"/>
    <xf numFmtId="3" fontId="13" fillId="2" borderId="28" xfId="0" applyFont="1" applyFill="1" applyBorder="1"/>
    <xf numFmtId="3" fontId="12" fillId="2" borderId="29" xfId="0" applyFont="1" applyFill="1" applyBorder="1"/>
    <xf numFmtId="3" fontId="13" fillId="2" borderId="87" xfId="0" applyFont="1" applyFill="1" applyBorder="1"/>
    <xf numFmtId="3" fontId="12" fillId="2" borderId="6" xfId="0" applyFont="1" applyFill="1" applyBorder="1" applyAlignment="1">
      <alignment horizontal="center"/>
    </xf>
    <xf numFmtId="3" fontId="12" fillId="2" borderId="88" xfId="0" applyFont="1" applyFill="1" applyBorder="1" applyAlignment="1">
      <alignment horizontal="center"/>
    </xf>
    <xf numFmtId="3" fontId="12" fillId="2" borderId="89" xfId="0" applyFont="1" applyFill="1" applyBorder="1"/>
    <xf numFmtId="3" fontId="12" fillId="2" borderId="7" xfId="0" applyFont="1" applyFill="1" applyBorder="1" applyAlignment="1">
      <alignment horizontal="center"/>
    </xf>
    <xf numFmtId="3" fontId="12" fillId="2" borderId="21" xfId="0" applyFont="1" applyFill="1" applyBorder="1" applyAlignment="1">
      <alignment horizontal="center"/>
    </xf>
    <xf numFmtId="3" fontId="12" fillId="2" borderId="90" xfId="0" applyFont="1" applyFill="1" applyBorder="1"/>
    <xf numFmtId="3" fontId="12" fillId="2" borderId="91" xfId="0" applyFont="1" applyFill="1" applyBorder="1" applyAlignment="1">
      <alignment horizontal="center"/>
    </xf>
    <xf numFmtId="3" fontId="12" fillId="2" borderId="92" xfId="0" applyFont="1" applyFill="1" applyBorder="1" applyAlignment="1">
      <alignment horizontal="center"/>
    </xf>
    <xf numFmtId="3" fontId="12" fillId="3" borderId="32" xfId="0" applyFont="1" applyFill="1" applyBorder="1"/>
    <xf numFmtId="3" fontId="12" fillId="3" borderId="33" xfId="0" applyFont="1" applyFill="1" applyBorder="1"/>
    <xf numFmtId="3" fontId="12" fillId="3" borderId="80" xfId="0" applyFont="1" applyFill="1" applyBorder="1"/>
    <xf numFmtId="3" fontId="12" fillId="3" borderId="38" xfId="0" applyFont="1" applyFill="1" applyBorder="1"/>
    <xf numFmtId="3" fontId="12" fillId="3" borderId="39" xfId="0" applyFont="1" applyFill="1" applyBorder="1"/>
    <xf numFmtId="3" fontId="12" fillId="3" borderId="93" xfId="0" applyFont="1" applyFill="1" applyBorder="1"/>
    <xf numFmtId="3" fontId="12" fillId="2" borderId="33" xfId="0" applyFont="1" applyFill="1" applyBorder="1"/>
    <xf numFmtId="3" fontId="12" fillId="2" borderId="80" xfId="0" applyFont="1" applyFill="1" applyBorder="1"/>
    <xf numFmtId="3" fontId="12" fillId="2" borderId="71" xfId="0" applyFont="1" applyFill="1" applyBorder="1"/>
    <xf numFmtId="3" fontId="12" fillId="2" borderId="24" xfId="0" applyFont="1" applyFill="1" applyBorder="1"/>
    <xf numFmtId="3" fontId="12" fillId="2" borderId="27" xfId="0" applyFont="1" applyFill="1" applyBorder="1"/>
    <xf numFmtId="3" fontId="12" fillId="2" borderId="82" xfId="0" applyFont="1" applyFill="1" applyBorder="1"/>
    <xf numFmtId="3" fontId="12" fillId="2" borderId="83" xfId="0" applyFont="1" applyFill="1" applyBorder="1"/>
    <xf numFmtId="3" fontId="22" fillId="0" borderId="0" xfId="0" applyFont="1"/>
    <xf numFmtId="3" fontId="8" fillId="0" borderId="0" xfId="0" applyFont="1" applyAlignment="1">
      <alignment vertical="center"/>
    </xf>
    <xf numFmtId="3" fontId="5" fillId="0" borderId="0" xfId="0" applyFont="1" applyAlignment="1">
      <alignment vertical="center"/>
    </xf>
    <xf numFmtId="3" fontId="18" fillId="0" borderId="0" xfId="1" applyNumberFormat="1" applyFont="1" applyAlignment="1">
      <alignment vertical="center"/>
    </xf>
    <xf numFmtId="3" fontId="5" fillId="0" borderId="0" xfId="0" applyFont="1" applyAlignment="1">
      <alignment horizontal="left" vertical="center" indent="5"/>
    </xf>
    <xf numFmtId="3" fontId="5" fillId="0" borderId="0" xfId="0" applyFont="1" applyAlignment="1">
      <alignment horizontal="left" vertical="center" indent="7"/>
    </xf>
    <xf numFmtId="3" fontId="7" fillId="0" borderId="0" xfId="0" applyFont="1" applyAlignment="1">
      <alignment vertical="center"/>
    </xf>
    <xf numFmtId="3" fontId="7" fillId="0" borderId="0" xfId="0" applyFont="1" applyAlignment="1">
      <alignment horizontal="left" vertical="center" indent="2"/>
    </xf>
    <xf numFmtId="3" fontId="7" fillId="0" borderId="0" xfId="0" applyFont="1" applyAlignment="1">
      <alignment horizontal="left" vertical="center" indent="5"/>
    </xf>
    <xf numFmtId="3" fontId="25" fillId="0" borderId="0" xfId="1" applyNumberFormat="1" applyFont="1" applyAlignment="1">
      <alignment vertical="center"/>
    </xf>
    <xf numFmtId="3" fontId="25" fillId="0" borderId="0" xfId="1" applyNumberFormat="1"/>
    <xf numFmtId="3" fontId="26" fillId="0" borderId="0" xfId="1" applyNumberFormat="1" applyFont="1"/>
    <xf numFmtId="3" fontId="25" fillId="0" borderId="0" xfId="1" applyNumberFormat="1" applyFont="1"/>
    <xf numFmtId="3" fontId="12" fillId="0" borderId="0" xfId="0" applyFont="1" applyFill="1" applyBorder="1" applyProtection="1">
      <protection locked="0"/>
    </xf>
    <xf numFmtId="3" fontId="12" fillId="0" borderId="41" xfId="0" applyFont="1" applyFill="1" applyBorder="1" applyProtection="1">
      <protection locked="0"/>
    </xf>
    <xf numFmtId="3" fontId="12" fillId="0" borderId="36" xfId="0" applyFont="1" applyFill="1" applyBorder="1" applyProtection="1">
      <protection locked="0"/>
    </xf>
    <xf numFmtId="3" fontId="12" fillId="0" borderId="49" xfId="0" applyFont="1" applyFill="1" applyBorder="1" applyProtection="1">
      <protection locked="0"/>
    </xf>
    <xf numFmtId="3" fontId="12" fillId="0" borderId="35" xfId="0" applyFont="1" applyFill="1" applyBorder="1" applyProtection="1">
      <protection locked="0"/>
    </xf>
    <xf numFmtId="3" fontId="12" fillId="0" borderId="52" xfId="0" applyFont="1" applyFill="1" applyBorder="1" applyProtection="1">
      <protection locked="0"/>
    </xf>
    <xf numFmtId="3" fontId="12" fillId="0" borderId="43" xfId="0" applyFont="1" applyFill="1" applyBorder="1" applyProtection="1">
      <protection locked="0"/>
    </xf>
    <xf numFmtId="3" fontId="13" fillId="0" borderId="68" xfId="0" applyFont="1" applyFill="1" applyBorder="1" applyProtection="1">
      <protection locked="0"/>
    </xf>
    <xf numFmtId="3" fontId="12" fillId="0" borderId="33" xfId="0" applyFont="1" applyFill="1" applyBorder="1" applyProtection="1">
      <protection locked="0"/>
    </xf>
    <xf numFmtId="3" fontId="12" fillId="0" borderId="33" xfId="0" applyFont="1" applyFill="1" applyBorder="1" applyAlignment="1" applyProtection="1">
      <alignment wrapText="1"/>
      <protection locked="0"/>
    </xf>
    <xf numFmtId="3" fontId="12" fillId="0" borderId="34" xfId="0" applyFont="1" applyFill="1" applyBorder="1" applyAlignment="1" applyProtection="1">
      <alignment wrapText="1"/>
      <protection locked="0"/>
    </xf>
    <xf numFmtId="3" fontId="13" fillId="0" borderId="46" xfId="0" applyFont="1" applyFill="1" applyBorder="1" applyProtection="1">
      <protection locked="0"/>
    </xf>
    <xf numFmtId="3" fontId="12" fillId="0" borderId="36" xfId="0" applyFont="1" applyFill="1" applyBorder="1" applyAlignment="1" applyProtection="1">
      <alignment wrapText="1"/>
      <protection locked="0"/>
    </xf>
    <xf numFmtId="3" fontId="12" fillId="0" borderId="37" xfId="0" applyFont="1" applyFill="1" applyBorder="1" applyAlignment="1" applyProtection="1">
      <alignment wrapText="1"/>
      <protection locked="0"/>
    </xf>
    <xf numFmtId="1" fontId="12" fillId="0" borderId="36" xfId="0" applyNumberFormat="1" applyFont="1" applyFill="1" applyBorder="1" applyProtection="1">
      <protection locked="0"/>
    </xf>
    <xf numFmtId="3" fontId="13" fillId="0" borderId="62" xfId="0" applyFont="1" applyFill="1" applyBorder="1" applyProtection="1">
      <protection locked="0"/>
    </xf>
    <xf numFmtId="3" fontId="12" fillId="0" borderId="39" xfId="0" applyFont="1" applyFill="1" applyBorder="1" applyProtection="1">
      <protection locked="0"/>
    </xf>
    <xf numFmtId="3" fontId="12" fillId="0" borderId="39" xfId="0" applyFont="1" applyBorder="1" applyAlignment="1" applyProtection="1">
      <alignment wrapText="1"/>
      <protection locked="0"/>
    </xf>
    <xf numFmtId="3" fontId="12" fillId="0" borderId="40" xfId="0" applyFont="1" applyBorder="1" applyAlignment="1" applyProtection="1">
      <alignment wrapText="1"/>
      <protection locked="0"/>
    </xf>
    <xf numFmtId="3" fontId="12" fillId="9" borderId="94" xfId="0" applyFont="1" applyFill="1" applyBorder="1"/>
    <xf numFmtId="3" fontId="12" fillId="0" borderId="41" xfId="0" applyFont="1" applyBorder="1" applyProtection="1">
      <protection locked="0"/>
    </xf>
    <xf numFmtId="3" fontId="12" fillId="0" borderId="72" xfId="0" applyFont="1" applyBorder="1" applyProtection="1">
      <protection locked="0"/>
    </xf>
    <xf numFmtId="9" fontId="12" fillId="0" borderId="36" xfId="4" applyFont="1" applyBorder="1" applyProtection="1">
      <protection locked="0"/>
    </xf>
    <xf numFmtId="9" fontId="12" fillId="0" borderId="43" xfId="4" applyFont="1" applyBorder="1" applyProtection="1">
      <protection locked="0"/>
    </xf>
    <xf numFmtId="3" fontId="12" fillId="0" borderId="0" xfId="0" applyFont="1" applyFill="1" applyProtection="1">
      <protection locked="0"/>
    </xf>
    <xf numFmtId="164" fontId="12" fillId="0" borderId="36" xfId="0" applyNumberFormat="1" applyFont="1" applyFill="1" applyBorder="1" applyProtection="1">
      <protection locked="0"/>
    </xf>
    <xf numFmtId="164" fontId="12" fillId="0" borderId="47" xfId="0" applyNumberFormat="1" applyFont="1" applyFill="1" applyBorder="1" applyProtection="1">
      <protection locked="0"/>
    </xf>
    <xf numFmtId="164" fontId="12" fillId="9" borderId="33" xfId="0" applyNumberFormat="1" applyFont="1" applyFill="1" applyBorder="1"/>
    <xf numFmtId="164" fontId="12" fillId="9" borderId="39" xfId="0" applyNumberFormat="1" applyFont="1" applyFill="1" applyBorder="1"/>
    <xf numFmtId="3" fontId="13" fillId="7" borderId="12" xfId="0" applyFont="1" applyFill="1" applyBorder="1" applyAlignment="1">
      <alignment horizontal="center"/>
    </xf>
    <xf numFmtId="164" fontId="12" fillId="0" borderId="43" xfId="0" applyNumberFormat="1" applyFont="1" applyFill="1" applyBorder="1" applyProtection="1">
      <protection locked="0"/>
    </xf>
    <xf numFmtId="3" fontId="15" fillId="0" borderId="0" xfId="0" applyFont="1"/>
    <xf numFmtId="3" fontId="13" fillId="3" borderId="2" xfId="0" applyFont="1" applyFill="1" applyBorder="1" applyAlignment="1">
      <alignment horizontal="center" wrapText="1"/>
    </xf>
    <xf numFmtId="3" fontId="13" fillId="9" borderId="2" xfId="0" applyFont="1" applyFill="1" applyBorder="1" applyAlignment="1">
      <alignment horizontal="center" wrapText="1"/>
    </xf>
    <xf numFmtId="3" fontId="13" fillId="12" borderId="2" xfId="0" applyFont="1" applyFill="1" applyBorder="1" applyAlignment="1">
      <alignment horizontal="center" wrapText="1"/>
    </xf>
    <xf numFmtId="9" fontId="12" fillId="0" borderId="0" xfId="4" applyFont="1"/>
    <xf numFmtId="9" fontId="12" fillId="0" borderId="0" xfId="4" applyFont="1" applyFill="1"/>
    <xf numFmtId="3" fontId="13" fillId="0" borderId="0" xfId="0" applyFont="1" applyAlignment="1">
      <alignment horizontal="center"/>
    </xf>
    <xf numFmtId="3" fontId="12" fillId="0" borderId="96" xfId="0" applyFont="1" applyBorder="1" applyAlignment="1">
      <alignment horizontal="center"/>
    </xf>
    <xf numFmtId="164" fontId="12" fillId="9" borderId="96" xfId="0" applyNumberFormat="1" applyFont="1" applyFill="1" applyBorder="1" applyAlignment="1">
      <alignment horizontal="center"/>
    </xf>
    <xf numFmtId="3" fontId="12" fillId="9" borderId="96" xfId="0" applyNumberFormat="1" applyFont="1" applyFill="1" applyBorder="1" applyAlignment="1">
      <alignment horizontal="center"/>
    </xf>
    <xf numFmtId="3" fontId="12" fillId="0" borderId="97" xfId="0" applyFont="1" applyBorder="1" applyAlignment="1">
      <alignment horizontal="center"/>
    </xf>
    <xf numFmtId="164" fontId="12" fillId="9" borderId="97" xfId="0" applyNumberFormat="1" applyFont="1" applyFill="1" applyBorder="1" applyAlignment="1">
      <alignment horizontal="center"/>
    </xf>
    <xf numFmtId="3" fontId="12" fillId="9" borderId="97" xfId="0" applyNumberFormat="1" applyFont="1" applyFill="1" applyBorder="1" applyAlignment="1">
      <alignment horizontal="center"/>
    </xf>
    <xf numFmtId="3" fontId="12" fillId="0" borderId="98" xfId="0" applyFont="1" applyBorder="1" applyAlignment="1">
      <alignment horizontal="center"/>
    </xf>
    <xf numFmtId="164" fontId="12" fillId="9" borderId="98" xfId="0" applyNumberFormat="1" applyFont="1" applyFill="1" applyBorder="1" applyAlignment="1">
      <alignment horizontal="center"/>
    </xf>
    <xf numFmtId="3" fontId="12" fillId="9" borderId="98" xfId="0" applyNumberFormat="1" applyFont="1" applyFill="1" applyBorder="1" applyAlignment="1">
      <alignment horizontal="center"/>
    </xf>
    <xf numFmtId="3" fontId="22" fillId="2" borderId="41" xfId="0" applyFont="1" applyFill="1" applyBorder="1" applyAlignment="1">
      <alignment horizontal="center"/>
    </xf>
    <xf numFmtId="3" fontId="22" fillId="2" borderId="36" xfId="0" applyFont="1" applyFill="1" applyBorder="1" applyAlignment="1">
      <alignment horizontal="center"/>
    </xf>
    <xf numFmtId="3" fontId="22" fillId="2" borderId="39" xfId="0" applyFont="1" applyFill="1" applyBorder="1" applyAlignment="1">
      <alignment horizontal="center"/>
    </xf>
    <xf numFmtId="4" fontId="12" fillId="2" borderId="99" xfId="0" applyNumberFormat="1" applyFont="1" applyFill="1" applyBorder="1" applyAlignment="1">
      <alignment horizontal="center"/>
    </xf>
    <xf numFmtId="4" fontId="12" fillId="2" borderId="100" xfId="0" applyNumberFormat="1" applyFont="1" applyFill="1" applyBorder="1" applyAlignment="1">
      <alignment horizontal="center"/>
    </xf>
    <xf numFmtId="3" fontId="13" fillId="3" borderId="102" xfId="0" applyFont="1" applyFill="1" applyBorder="1" applyAlignment="1">
      <alignment horizontal="center" wrapText="1"/>
    </xf>
    <xf numFmtId="3" fontId="13" fillId="3" borderId="14" xfId="0" applyFont="1" applyFill="1" applyBorder="1" applyAlignment="1">
      <alignment horizontal="center" wrapText="1"/>
    </xf>
    <xf numFmtId="3" fontId="13" fillId="3" borderId="114" xfId="0" applyFont="1" applyFill="1" applyBorder="1" applyAlignment="1">
      <alignment horizontal="center" wrapText="1"/>
    </xf>
    <xf numFmtId="3" fontId="15" fillId="3" borderId="110" xfId="0" applyFont="1" applyFill="1" applyBorder="1"/>
    <xf numFmtId="3" fontId="12" fillId="5" borderId="103" xfId="0" applyFont="1" applyFill="1" applyBorder="1" applyAlignment="1">
      <alignment horizontal="center"/>
    </xf>
    <xf numFmtId="3" fontId="12" fillId="5" borderId="105" xfId="0" applyFont="1" applyFill="1" applyBorder="1" applyAlignment="1">
      <alignment horizontal="center"/>
    </xf>
    <xf numFmtId="3" fontId="12" fillId="5" borderId="107" xfId="0" applyFont="1" applyFill="1" applyBorder="1" applyAlignment="1">
      <alignment horizontal="center"/>
    </xf>
    <xf numFmtId="3" fontId="12" fillId="3" borderId="111" xfId="0" applyFont="1" applyFill="1" applyBorder="1"/>
    <xf numFmtId="3" fontId="12" fillId="3" borderId="112" xfId="0" applyFont="1" applyFill="1" applyBorder="1"/>
    <xf numFmtId="3" fontId="12" fillId="3" borderId="113" xfId="0" applyFont="1" applyFill="1" applyBorder="1"/>
    <xf numFmtId="3" fontId="12" fillId="14" borderId="100" xfId="0" applyFont="1" applyFill="1" applyBorder="1" applyAlignment="1">
      <alignment horizontal="center"/>
    </xf>
    <xf numFmtId="3" fontId="12" fillId="14" borderId="101" xfId="0" applyFont="1" applyFill="1" applyBorder="1" applyAlignment="1">
      <alignment horizontal="center"/>
    </xf>
    <xf numFmtId="3" fontId="13" fillId="13" borderId="2" xfId="0" applyFont="1" applyFill="1" applyBorder="1"/>
    <xf numFmtId="3" fontId="14" fillId="13" borderId="2" xfId="0" applyFont="1" applyFill="1" applyBorder="1"/>
    <xf numFmtId="3" fontId="12" fillId="14" borderId="99" xfId="0" applyFont="1" applyFill="1" applyBorder="1" applyAlignment="1">
      <alignment horizontal="center"/>
    </xf>
    <xf numFmtId="3" fontId="13" fillId="6" borderId="2" xfId="0" applyFont="1" applyFill="1" applyBorder="1" applyAlignment="1">
      <alignment horizontal="center" wrapText="1"/>
    </xf>
    <xf numFmtId="3" fontId="13" fillId="6" borderId="95" xfId="0" applyFont="1" applyFill="1" applyBorder="1" applyAlignment="1">
      <alignment horizontal="center" wrapText="1"/>
    </xf>
    <xf numFmtId="164" fontId="12" fillId="5" borderId="99" xfId="0" applyNumberFormat="1" applyFont="1" applyFill="1" applyBorder="1" applyAlignment="1">
      <alignment horizontal="center" wrapText="1"/>
    </xf>
    <xf numFmtId="164" fontId="12" fillId="5" borderId="100" xfId="0" applyNumberFormat="1" applyFont="1" applyFill="1" applyBorder="1" applyAlignment="1">
      <alignment horizontal="center" wrapText="1"/>
    </xf>
    <xf numFmtId="164" fontId="12" fillId="5" borderId="100" xfId="0" applyNumberFormat="1" applyFont="1" applyFill="1" applyBorder="1" applyAlignment="1">
      <alignment horizontal="center"/>
    </xf>
    <xf numFmtId="164" fontId="12" fillId="5" borderId="108" xfId="0" applyNumberFormat="1" applyFont="1" applyFill="1" applyBorder="1" applyAlignment="1">
      <alignment horizontal="center"/>
    </xf>
    <xf numFmtId="3" fontId="13" fillId="3" borderId="117" xfId="0" applyFont="1" applyFill="1" applyBorder="1" applyAlignment="1">
      <alignment horizontal="center"/>
    </xf>
    <xf numFmtId="3" fontId="13" fillId="3" borderId="118" xfId="0" applyFont="1" applyFill="1" applyBorder="1" applyAlignment="1">
      <alignment horizontal="center"/>
    </xf>
    <xf numFmtId="3" fontId="22" fillId="3" borderId="87" xfId="0" applyFont="1" applyFill="1" applyBorder="1" applyAlignment="1">
      <alignment wrapText="1"/>
    </xf>
    <xf numFmtId="3" fontId="22" fillId="3" borderId="88" xfId="0" applyFont="1" applyFill="1" applyBorder="1" applyAlignment="1">
      <alignment wrapText="1"/>
    </xf>
    <xf numFmtId="3" fontId="14" fillId="0" borderId="115" xfId="0" applyFont="1" applyBorder="1" applyAlignment="1">
      <alignment horizontal="center"/>
    </xf>
    <xf numFmtId="3" fontId="14" fillId="0" borderId="116" xfId="0" applyFont="1" applyBorder="1" applyAlignment="1">
      <alignment horizontal="center"/>
    </xf>
    <xf numFmtId="3" fontId="14" fillId="0" borderId="105" xfId="0" applyFont="1" applyBorder="1" applyAlignment="1">
      <alignment horizontal="center"/>
    </xf>
    <xf numFmtId="3" fontId="14" fillId="0" borderId="106" xfId="0" applyFont="1" applyBorder="1" applyAlignment="1">
      <alignment horizontal="center"/>
    </xf>
    <xf numFmtId="3" fontId="14" fillId="0" borderId="107" xfId="0" applyFont="1" applyBorder="1" applyAlignment="1">
      <alignment horizontal="center"/>
    </xf>
    <xf numFmtId="3" fontId="14" fillId="0" borderId="109" xfId="0" applyFont="1" applyBorder="1" applyAlignment="1">
      <alignment horizontal="center"/>
    </xf>
    <xf numFmtId="164" fontId="12" fillId="0" borderId="0" xfId="0" applyNumberFormat="1" applyFont="1"/>
    <xf numFmtId="164" fontId="12" fillId="2" borderId="119" xfId="0" applyNumberFormat="1" applyFont="1" applyFill="1" applyBorder="1" applyAlignment="1">
      <alignment horizontal="center"/>
    </xf>
    <xf numFmtId="1" fontId="12" fillId="5" borderId="99" xfId="0" applyNumberFormat="1" applyFont="1" applyFill="1" applyBorder="1" applyAlignment="1">
      <alignment horizontal="center" wrapText="1"/>
    </xf>
    <xf numFmtId="1" fontId="12" fillId="5" borderId="100" xfId="0" applyNumberFormat="1" applyFont="1" applyFill="1" applyBorder="1" applyAlignment="1">
      <alignment horizontal="center" wrapText="1"/>
    </xf>
    <xf numFmtId="1" fontId="12" fillId="5" borderId="100" xfId="4" applyNumberFormat="1" applyFont="1" applyFill="1" applyBorder="1" applyAlignment="1">
      <alignment horizontal="center"/>
    </xf>
    <xf numFmtId="1" fontId="12" fillId="5" borderId="108" xfId="4" applyNumberFormat="1" applyFont="1" applyFill="1" applyBorder="1" applyAlignment="1">
      <alignment horizontal="center"/>
    </xf>
    <xf numFmtId="1" fontId="12" fillId="5" borderId="104" xfId="0" applyNumberFormat="1" applyFont="1" applyFill="1" applyBorder="1" applyAlignment="1">
      <alignment horizontal="center" wrapText="1"/>
    </xf>
    <xf numFmtId="1" fontId="12" fillId="5" borderId="106" xfId="0" applyNumberFormat="1" applyFont="1" applyFill="1" applyBorder="1" applyAlignment="1">
      <alignment horizontal="center" wrapText="1"/>
    </xf>
    <xf numFmtId="1" fontId="12" fillId="5" borderId="106" xfId="4" applyNumberFormat="1" applyFont="1" applyFill="1" applyBorder="1" applyAlignment="1">
      <alignment horizontal="center"/>
    </xf>
    <xf numFmtId="1" fontId="12" fillId="5" borderId="109" xfId="4" applyNumberFormat="1" applyFont="1" applyFill="1" applyBorder="1" applyAlignment="1">
      <alignment horizontal="center"/>
    </xf>
    <xf numFmtId="3" fontId="13" fillId="12" borderId="102" xfId="0" applyFont="1" applyFill="1" applyBorder="1" applyAlignment="1">
      <alignment horizontal="center" wrapText="1"/>
    </xf>
    <xf numFmtId="3" fontId="13" fillId="12" borderId="14" xfId="0" applyFont="1" applyFill="1" applyBorder="1" applyAlignment="1">
      <alignment horizontal="center" wrapText="1"/>
    </xf>
    <xf numFmtId="4" fontId="12" fillId="2" borderId="103" xfId="0" applyNumberFormat="1" applyFont="1" applyFill="1" applyBorder="1" applyAlignment="1">
      <alignment horizontal="center"/>
    </xf>
    <xf numFmtId="4" fontId="12" fillId="2" borderId="105" xfId="0" applyNumberFormat="1" applyFont="1" applyFill="1" applyBorder="1" applyAlignment="1">
      <alignment horizontal="center"/>
    </xf>
    <xf numFmtId="4" fontId="12" fillId="2" borderId="107" xfId="0" applyNumberFormat="1" applyFont="1" applyFill="1" applyBorder="1" applyAlignment="1">
      <alignment horizontal="center"/>
    </xf>
    <xf numFmtId="4" fontId="12" fillId="2" borderId="108" xfId="0" applyNumberFormat="1" applyFont="1" applyFill="1" applyBorder="1" applyAlignment="1">
      <alignment horizontal="center"/>
    </xf>
    <xf numFmtId="3" fontId="12" fillId="2" borderId="103" xfId="0" applyFont="1" applyFill="1" applyBorder="1" applyAlignment="1">
      <alignment horizontal="center"/>
    </xf>
    <xf numFmtId="3" fontId="12" fillId="2" borderId="104" xfId="0" applyFont="1" applyFill="1" applyBorder="1" applyAlignment="1">
      <alignment horizontal="center"/>
    </xf>
    <xf numFmtId="3" fontId="12" fillId="2" borderId="105" xfId="0" applyFont="1" applyFill="1" applyBorder="1" applyAlignment="1">
      <alignment horizontal="center"/>
    </xf>
    <xf numFmtId="3" fontId="12" fillId="2" borderId="106" xfId="0" applyFont="1" applyFill="1" applyBorder="1" applyAlignment="1">
      <alignment horizontal="center"/>
    </xf>
    <xf numFmtId="3" fontId="12" fillId="2" borderId="107" xfId="0" applyFont="1" applyFill="1" applyBorder="1" applyAlignment="1">
      <alignment horizontal="center"/>
    </xf>
    <xf numFmtId="3" fontId="12" fillId="2" borderId="109" xfId="0" applyFont="1" applyFill="1" applyBorder="1" applyAlignment="1">
      <alignment horizontal="center"/>
    </xf>
    <xf numFmtId="3" fontId="13" fillId="12" borderId="87" xfId="0" applyFont="1" applyFill="1" applyBorder="1" applyAlignment="1">
      <alignment horizontal="center" wrapText="1"/>
    </xf>
    <xf numFmtId="3" fontId="13" fillId="12" borderId="88" xfId="0" applyFont="1" applyFill="1" applyBorder="1" applyAlignment="1">
      <alignment horizontal="center" wrapText="1"/>
    </xf>
    <xf numFmtId="3" fontId="15" fillId="12" borderId="28" xfId="0" applyFont="1" applyFill="1" applyBorder="1"/>
    <xf numFmtId="164" fontId="12" fillId="2" borderId="115" xfId="0" applyNumberFormat="1" applyFont="1" applyFill="1" applyBorder="1" applyAlignment="1">
      <alignment horizontal="center"/>
    </xf>
    <xf numFmtId="3" fontId="12" fillId="2" borderId="116" xfId="0" applyNumberFormat="1" applyFont="1" applyFill="1" applyBorder="1" applyAlignment="1">
      <alignment horizontal="center"/>
    </xf>
    <xf numFmtId="164" fontId="12" fillId="2" borderId="105" xfId="0" applyNumberFormat="1" applyFont="1" applyFill="1" applyBorder="1" applyAlignment="1">
      <alignment horizontal="center"/>
    </xf>
    <xf numFmtId="164" fontId="12" fillId="2" borderId="107" xfId="0" applyNumberFormat="1" applyFont="1" applyFill="1" applyBorder="1" applyAlignment="1">
      <alignment horizontal="center"/>
    </xf>
    <xf numFmtId="3" fontId="12" fillId="2" borderId="109" xfId="0" applyNumberFormat="1" applyFont="1" applyFill="1" applyBorder="1" applyAlignment="1">
      <alignment horizontal="center"/>
    </xf>
    <xf numFmtId="164" fontId="12" fillId="2" borderId="108" xfId="0" applyNumberFormat="1" applyFont="1" applyFill="1" applyBorder="1" applyAlignment="1">
      <alignment horizontal="center"/>
    </xf>
    <xf numFmtId="3" fontId="12" fillId="2" borderId="92" xfId="0" applyNumberFormat="1" applyFont="1" applyFill="1" applyBorder="1" applyAlignment="1">
      <alignment horizontal="center"/>
    </xf>
    <xf numFmtId="3" fontId="12" fillId="12" borderId="118" xfId="0" applyFont="1" applyFill="1" applyBorder="1"/>
    <xf numFmtId="3" fontId="12" fillId="6" borderId="64" xfId="0" applyFont="1" applyFill="1" applyBorder="1"/>
    <xf numFmtId="3" fontId="13" fillId="6" borderId="102" xfId="0" applyFont="1" applyFill="1" applyBorder="1"/>
    <xf numFmtId="3" fontId="13" fillId="6" borderId="57" xfId="0" applyFont="1" applyFill="1" applyBorder="1"/>
    <xf numFmtId="3" fontId="13" fillId="6" borderId="8" xfId="0" applyFont="1" applyFill="1" applyBorder="1" applyAlignment="1">
      <alignment horizontal="center"/>
    </xf>
    <xf numFmtId="3" fontId="13" fillId="6" borderId="64" xfId="0" applyFont="1" applyFill="1" applyBorder="1" applyAlignment="1">
      <alignment horizontal="center"/>
    </xf>
    <xf numFmtId="3" fontId="13" fillId="6" borderId="14" xfId="0" applyFont="1" applyFill="1" applyBorder="1" applyAlignment="1">
      <alignment horizontal="center" wrapText="1"/>
    </xf>
    <xf numFmtId="3" fontId="13" fillId="6" borderId="102" xfId="0" applyFont="1" applyFill="1" applyBorder="1" applyAlignment="1">
      <alignment horizontal="center" wrapText="1"/>
    </xf>
    <xf numFmtId="3" fontId="13" fillId="6" borderId="87" xfId="0" applyFont="1" applyFill="1" applyBorder="1" applyAlignment="1">
      <alignment horizontal="center" wrapText="1"/>
    </xf>
    <xf numFmtId="3" fontId="12" fillId="12" borderId="2" xfId="0" applyFont="1" applyFill="1" applyBorder="1" applyAlignment="1">
      <alignment horizontal="center"/>
    </xf>
    <xf numFmtId="3" fontId="12" fillId="9" borderId="2" xfId="0" applyFont="1" applyFill="1" applyBorder="1" applyAlignment="1">
      <alignment horizontal="center"/>
    </xf>
    <xf numFmtId="3" fontId="12" fillId="8" borderId="2" xfId="0" applyFont="1" applyFill="1" applyBorder="1" applyAlignment="1">
      <alignment horizontal="center"/>
    </xf>
    <xf numFmtId="3" fontId="12" fillId="8" borderId="14" xfId="0" applyFont="1" applyFill="1" applyBorder="1"/>
    <xf numFmtId="164" fontId="12" fillId="9" borderId="2" xfId="0" applyNumberFormat="1" applyFont="1" applyFill="1" applyBorder="1" applyAlignment="1">
      <alignment horizontal="center"/>
    </xf>
    <xf numFmtId="3" fontId="12" fillId="12" borderId="124" xfId="0" applyFont="1" applyFill="1" applyBorder="1" applyAlignment="1">
      <alignment horizontal="center"/>
    </xf>
    <xf numFmtId="164" fontId="12" fillId="9" borderId="124" xfId="0" applyNumberFormat="1" applyFont="1" applyFill="1" applyBorder="1" applyAlignment="1">
      <alignment horizontal="center"/>
    </xf>
    <xf numFmtId="3" fontId="12" fillId="9" borderId="124" xfId="0" applyFont="1" applyFill="1" applyBorder="1" applyAlignment="1">
      <alignment horizontal="center"/>
    </xf>
    <xf numFmtId="3" fontId="12" fillId="8" borderId="124" xfId="0" applyFont="1" applyFill="1" applyBorder="1" applyAlignment="1">
      <alignment horizontal="center"/>
    </xf>
    <xf numFmtId="3" fontId="12" fillId="8" borderId="125" xfId="0" applyFont="1" applyFill="1" applyBorder="1"/>
    <xf numFmtId="3" fontId="24" fillId="0" borderId="102" xfId="0" applyFont="1" applyBorder="1"/>
    <xf numFmtId="3" fontId="24" fillId="0" borderId="2" xfId="0" applyFont="1" applyBorder="1"/>
    <xf numFmtId="3" fontId="24" fillId="0" borderId="2" xfId="0" applyFont="1" applyBorder="1" applyAlignment="1">
      <alignment horizontal="center"/>
    </xf>
    <xf numFmtId="3" fontId="24" fillId="12" borderId="2" xfId="0" applyFont="1" applyFill="1" applyBorder="1" applyAlignment="1">
      <alignment horizontal="center"/>
    </xf>
    <xf numFmtId="3" fontId="24" fillId="0" borderId="2" xfId="0" applyFont="1" applyFill="1" applyBorder="1" applyAlignment="1">
      <alignment horizontal="center"/>
    </xf>
    <xf numFmtId="3" fontId="24" fillId="0" borderId="2" xfId="0" applyFont="1" applyBorder="1" applyAlignment="1">
      <alignment horizontal="left"/>
    </xf>
    <xf numFmtId="164" fontId="24" fillId="9" borderId="2" xfId="0" applyNumberFormat="1" applyFont="1" applyFill="1" applyBorder="1" applyAlignment="1">
      <alignment horizontal="center"/>
    </xf>
    <xf numFmtId="3" fontId="24" fillId="9" borderId="2" xfId="0" applyFont="1" applyFill="1" applyBorder="1" applyAlignment="1">
      <alignment horizontal="center"/>
    </xf>
    <xf numFmtId="3" fontId="24" fillId="8" borderId="2" xfId="0" applyFont="1" applyFill="1" applyBorder="1" applyAlignment="1">
      <alignment horizontal="center"/>
    </xf>
    <xf numFmtId="3" fontId="5" fillId="0" borderId="0" xfId="0" applyFont="1" applyFill="1" applyAlignment="1">
      <alignment vertical="center"/>
    </xf>
    <xf numFmtId="3" fontId="7" fillId="0" borderId="0" xfId="0" applyFont="1" applyFill="1" applyAlignment="1">
      <alignment vertical="center"/>
    </xf>
    <xf numFmtId="3" fontId="5" fillId="0" borderId="0" xfId="0" applyFont="1" applyFill="1" applyAlignment="1">
      <alignment horizontal="left" vertical="center" indent="1"/>
    </xf>
    <xf numFmtId="0" fontId="12" fillId="0" borderId="0" xfId="2" applyFont="1" applyFill="1" applyAlignment="1">
      <alignment vertical="top"/>
    </xf>
    <xf numFmtId="0" fontId="12" fillId="0" borderId="0" xfId="2" applyFont="1" applyFill="1" applyAlignment="1"/>
    <xf numFmtId="0" fontId="13" fillId="0" borderId="0" xfId="2" applyFont="1" applyFill="1"/>
    <xf numFmtId="0" fontId="12" fillId="0" borderId="0" xfId="2" applyFont="1" applyFill="1"/>
    <xf numFmtId="3" fontId="25" fillId="0" borderId="0" xfId="1" applyNumberFormat="1" applyFill="1" applyAlignment="1">
      <alignment vertical="center"/>
    </xf>
    <xf numFmtId="3" fontId="25" fillId="0" borderId="0" xfId="1" applyNumberFormat="1" applyFill="1"/>
    <xf numFmtId="3" fontId="28" fillId="0" borderId="0" xfId="0" applyFont="1"/>
    <xf numFmtId="3" fontId="29" fillId="0" borderId="0" xfId="1" applyNumberFormat="1" applyFont="1"/>
    <xf numFmtId="3" fontId="21" fillId="0" borderId="0" xfId="0" applyFont="1"/>
    <xf numFmtId="3" fontId="30" fillId="0" borderId="0" xfId="0" applyFont="1"/>
    <xf numFmtId="164" fontId="24" fillId="0" borderId="2" xfId="0" applyNumberFormat="1" applyFont="1" applyBorder="1" applyAlignment="1">
      <alignment horizontal="center"/>
    </xf>
    <xf numFmtId="164" fontId="24" fillId="8" borderId="2" xfId="0" applyNumberFormat="1" applyFont="1" applyFill="1" applyBorder="1" applyAlignment="1">
      <alignment horizontal="center"/>
    </xf>
    <xf numFmtId="3" fontId="19" fillId="0" borderId="0" xfId="0" applyFont="1" applyProtection="1"/>
    <xf numFmtId="3" fontId="12" fillId="0" borderId="0" xfId="0" applyFont="1" applyProtection="1"/>
    <xf numFmtId="3" fontId="13" fillId="7" borderId="73" xfId="0" applyFont="1" applyFill="1" applyBorder="1" applyAlignment="1" applyProtection="1">
      <alignment horizontal="center" vertical="center"/>
    </xf>
    <xf numFmtId="3" fontId="13" fillId="7" borderId="74" xfId="0" applyFont="1" applyFill="1" applyBorder="1" applyAlignment="1" applyProtection="1">
      <alignment horizontal="center" vertical="center"/>
    </xf>
    <xf numFmtId="3" fontId="13" fillId="7" borderId="75" xfId="0" applyFont="1" applyFill="1" applyBorder="1" applyAlignment="1" applyProtection="1">
      <alignment horizontal="center" vertical="center"/>
    </xf>
    <xf numFmtId="3" fontId="12" fillId="6" borderId="41" xfId="0" applyFont="1" applyFill="1" applyBorder="1" applyAlignment="1" applyProtection="1">
      <alignment horizontal="center"/>
    </xf>
    <xf numFmtId="3" fontId="12" fillId="6" borderId="72" xfId="0" applyFont="1" applyFill="1" applyBorder="1" applyAlignment="1" applyProtection="1">
      <alignment horizontal="center"/>
    </xf>
    <xf numFmtId="3" fontId="12" fillId="6" borderId="35" xfId="0" applyFont="1" applyFill="1" applyBorder="1" applyProtection="1"/>
    <xf numFmtId="3" fontId="12" fillId="6" borderId="36" xfId="0" applyFont="1" applyFill="1" applyBorder="1" applyAlignment="1" applyProtection="1">
      <alignment horizontal="center"/>
    </xf>
    <xf numFmtId="3" fontId="12" fillId="6" borderId="71" xfId="0" applyFont="1" applyFill="1" applyBorder="1" applyAlignment="1" applyProtection="1">
      <alignment horizontal="center"/>
    </xf>
    <xf numFmtId="3" fontId="13" fillId="6" borderId="76" xfId="0" applyFont="1" applyFill="1" applyBorder="1" applyProtection="1"/>
    <xf numFmtId="3" fontId="12" fillId="6" borderId="70" xfId="0" applyFont="1" applyFill="1" applyBorder="1" applyAlignment="1" applyProtection="1">
      <alignment horizontal="center"/>
    </xf>
    <xf numFmtId="3" fontId="12" fillId="6" borderId="77" xfId="0" applyFont="1" applyFill="1" applyBorder="1" applyAlignment="1" applyProtection="1">
      <alignment horizontal="center"/>
    </xf>
    <xf numFmtId="3" fontId="25" fillId="0" borderId="0" xfId="1" applyNumberFormat="1" applyFont="1" applyProtection="1">
      <protection locked="0"/>
    </xf>
    <xf numFmtId="3" fontId="12" fillId="0" borderId="0" xfId="0" applyFont="1" applyProtection="1">
      <protection locked="0"/>
    </xf>
    <xf numFmtId="3" fontId="0" fillId="0" borderId="0" xfId="0" applyProtection="1">
      <protection locked="0"/>
    </xf>
    <xf numFmtId="3" fontId="25" fillId="0" borderId="0" xfId="1" applyNumberFormat="1" applyProtection="1">
      <protection locked="0"/>
    </xf>
    <xf numFmtId="3" fontId="13" fillId="0" borderId="0" xfId="0" applyFont="1" applyProtection="1">
      <protection locked="0"/>
    </xf>
    <xf numFmtId="3" fontId="12" fillId="7" borderId="85" xfId="0" applyFont="1" applyFill="1" applyBorder="1" applyProtection="1">
      <protection locked="0"/>
    </xf>
    <xf numFmtId="3" fontId="12" fillId="7" borderId="86" xfId="0" applyFont="1" applyFill="1" applyBorder="1" applyProtection="1">
      <protection locked="0"/>
    </xf>
    <xf numFmtId="3" fontId="4" fillId="0" borderId="0" xfId="0" applyFont="1" applyFill="1" applyProtection="1">
      <protection locked="0"/>
    </xf>
    <xf numFmtId="3" fontId="0" fillId="0" borderId="0" xfId="0" applyFill="1" applyProtection="1">
      <protection locked="0"/>
    </xf>
    <xf numFmtId="1" fontId="0" fillId="0" borderId="0" xfId="0" applyNumberFormat="1" applyFill="1" applyProtection="1">
      <protection locked="0"/>
    </xf>
    <xf numFmtId="3" fontId="13" fillId="7" borderId="69" xfId="0" applyFont="1" applyFill="1" applyBorder="1" applyProtection="1"/>
    <xf numFmtId="3" fontId="12" fillId="7" borderId="70" xfId="0" applyFont="1" applyFill="1" applyBorder="1" applyProtection="1"/>
    <xf numFmtId="3" fontId="13" fillId="7" borderId="79" xfId="0" applyFont="1" applyFill="1" applyBorder="1" applyAlignment="1" applyProtection="1">
      <alignment horizontal="center" vertical="center" wrapText="1"/>
    </xf>
    <xf numFmtId="3" fontId="13" fillId="7" borderId="74" xfId="0" applyFont="1" applyFill="1" applyBorder="1" applyAlignment="1" applyProtection="1">
      <alignment horizontal="center" vertical="center" wrapText="1"/>
    </xf>
    <xf numFmtId="3" fontId="13" fillId="7" borderId="78" xfId="0" applyFont="1" applyFill="1" applyBorder="1" applyAlignment="1" applyProtection="1">
      <alignment horizontal="center" vertical="center"/>
    </xf>
    <xf numFmtId="164" fontId="12" fillId="8" borderId="2" xfId="0" applyNumberFormat="1" applyFont="1" applyFill="1" applyBorder="1" applyAlignment="1">
      <alignment horizontal="center"/>
    </xf>
    <xf numFmtId="164" fontId="12" fillId="8" borderId="124" xfId="0" applyNumberFormat="1" applyFont="1" applyFill="1" applyBorder="1" applyAlignment="1">
      <alignment horizontal="center"/>
    </xf>
    <xf numFmtId="3" fontId="24" fillId="8" borderId="14" xfId="0" applyNumberFormat="1" applyFont="1" applyFill="1" applyBorder="1" applyAlignment="1">
      <alignment horizontal="center"/>
    </xf>
    <xf numFmtId="3" fontId="12" fillId="4" borderId="0" xfId="0" applyFont="1" applyFill="1" applyBorder="1" applyAlignment="1" applyProtection="1">
      <alignment horizontal="right"/>
      <protection locked="0"/>
    </xf>
    <xf numFmtId="9" fontId="12" fillId="4" borderId="0" xfId="4" applyFont="1" applyFill="1" applyBorder="1" applyProtection="1">
      <protection locked="0"/>
    </xf>
    <xf numFmtId="3" fontId="12" fillId="4" borderId="0" xfId="0" applyFont="1" applyFill="1" applyBorder="1" applyProtection="1">
      <protection locked="0"/>
    </xf>
    <xf numFmtId="3" fontId="12" fillId="0" borderId="102" xfId="0" applyFont="1" applyBorder="1" applyProtection="1">
      <protection locked="0"/>
    </xf>
    <xf numFmtId="3" fontId="12" fillId="0" borderId="2" xfId="0" applyFont="1" applyBorder="1" applyProtection="1">
      <protection locked="0"/>
    </xf>
    <xf numFmtId="3" fontId="12" fillId="0" borderId="2" xfId="0" applyFont="1" applyBorder="1" applyAlignment="1" applyProtection="1">
      <alignment horizontal="center"/>
      <protection locked="0"/>
    </xf>
    <xf numFmtId="3" fontId="12" fillId="0" borderId="123" xfId="0" applyFont="1" applyBorder="1" applyProtection="1">
      <protection locked="0"/>
    </xf>
    <xf numFmtId="3" fontId="12" fillId="0" borderId="124" xfId="0" applyFont="1" applyBorder="1" applyProtection="1">
      <protection locked="0"/>
    </xf>
    <xf numFmtId="3" fontId="12" fillId="0" borderId="124" xfId="0" applyFont="1" applyBorder="1" applyAlignment="1" applyProtection="1">
      <alignment horizontal="center"/>
      <protection locked="0"/>
    </xf>
    <xf numFmtId="3" fontId="12" fillId="0" borderId="2" xfId="0" applyFont="1" applyFill="1" applyBorder="1" applyAlignment="1" applyProtection="1">
      <alignment horizontal="center"/>
      <protection locked="0"/>
    </xf>
    <xf numFmtId="3" fontId="12" fillId="0" borderId="2" xfId="0" applyFont="1" applyBorder="1" applyAlignment="1" applyProtection="1">
      <alignment horizontal="left"/>
      <protection locked="0"/>
    </xf>
    <xf numFmtId="164" fontId="12" fillId="0" borderId="2" xfId="0" applyNumberFormat="1" applyFont="1" applyBorder="1" applyAlignment="1" applyProtection="1">
      <alignment horizontal="center"/>
      <protection locked="0"/>
    </xf>
    <xf numFmtId="3" fontId="12" fillId="0" borderId="124" xfId="0" applyFont="1" applyBorder="1" applyAlignment="1" applyProtection="1">
      <alignment horizontal="left"/>
      <protection locked="0"/>
    </xf>
    <xf numFmtId="164" fontId="12" fillId="0" borderId="124" xfId="0" applyNumberFormat="1" applyFont="1" applyBorder="1" applyAlignment="1" applyProtection="1">
      <alignment horizontal="center"/>
      <protection locked="0"/>
    </xf>
    <xf numFmtId="3" fontId="12" fillId="0" borderId="98" xfId="0" applyFont="1" applyBorder="1" applyProtection="1">
      <protection locked="0"/>
    </xf>
    <xf numFmtId="3" fontId="12" fillId="0" borderId="98" xfId="0" applyFont="1" applyBorder="1" applyAlignment="1" applyProtection="1">
      <alignment horizontal="center"/>
      <protection locked="0"/>
    </xf>
    <xf numFmtId="164" fontId="12" fillId="0" borderId="98" xfId="0" applyNumberFormat="1" applyFont="1" applyBorder="1" applyAlignment="1" applyProtection="1">
      <alignment horizontal="center"/>
      <protection locked="0"/>
    </xf>
    <xf numFmtId="3" fontId="12" fillId="0" borderId="96" xfId="0" applyFont="1" applyBorder="1" applyProtection="1">
      <protection locked="0"/>
    </xf>
    <xf numFmtId="3" fontId="12" fillId="0" borderId="96" xfId="0" applyFont="1" applyBorder="1" applyAlignment="1" applyProtection="1">
      <alignment horizontal="center"/>
      <protection locked="0"/>
    </xf>
    <xf numFmtId="164" fontId="12" fillId="0" borderId="96" xfId="0" applyNumberFormat="1" applyFont="1" applyBorder="1" applyAlignment="1" applyProtection="1">
      <alignment horizontal="center"/>
      <protection locked="0"/>
    </xf>
    <xf numFmtId="3" fontId="12" fillId="0" borderId="97" xfId="0" applyFont="1" applyBorder="1" applyProtection="1">
      <protection locked="0"/>
    </xf>
    <xf numFmtId="3" fontId="12" fillId="0" borderId="97" xfId="0" applyFont="1" applyBorder="1" applyAlignment="1" applyProtection="1">
      <alignment horizontal="center"/>
      <protection locked="0"/>
    </xf>
    <xf numFmtId="164" fontId="12" fillId="0" borderId="97" xfId="0" applyNumberFormat="1" applyFont="1" applyBorder="1" applyAlignment="1" applyProtection="1">
      <alignment horizontal="center"/>
      <protection locked="0"/>
    </xf>
    <xf numFmtId="3" fontId="12" fillId="0" borderId="103" xfId="0" applyFont="1" applyFill="1" applyBorder="1" applyAlignment="1" applyProtection="1">
      <alignment horizontal="center" wrapText="1"/>
      <protection locked="0"/>
    </xf>
    <xf numFmtId="3" fontId="12" fillId="0" borderId="99" xfId="0" applyFont="1" applyFill="1" applyBorder="1" applyAlignment="1" applyProtection="1">
      <alignment horizontal="center" wrapText="1"/>
      <protection locked="0"/>
    </xf>
    <xf numFmtId="3" fontId="12" fillId="0" borderId="104" xfId="0" applyFont="1" applyFill="1" applyBorder="1" applyAlignment="1" applyProtection="1">
      <alignment horizontal="center" wrapText="1"/>
      <protection locked="0"/>
    </xf>
    <xf numFmtId="3" fontId="12" fillId="0" borderId="105" xfId="0" applyFont="1" applyFill="1" applyBorder="1" applyAlignment="1" applyProtection="1">
      <alignment horizontal="center" wrapText="1"/>
      <protection locked="0"/>
    </xf>
    <xf numFmtId="3" fontId="12" fillId="0" borderId="100" xfId="0" applyFont="1" applyFill="1" applyBorder="1" applyAlignment="1" applyProtection="1">
      <alignment horizontal="center" wrapText="1"/>
      <protection locked="0"/>
    </xf>
    <xf numFmtId="3" fontId="12" fillId="0" borderId="106" xfId="0" applyFont="1" applyFill="1" applyBorder="1" applyAlignment="1" applyProtection="1">
      <alignment horizontal="center" wrapText="1"/>
      <protection locked="0"/>
    </xf>
    <xf numFmtId="167" fontId="12" fillId="0" borderId="105" xfId="4" applyNumberFormat="1" applyFont="1" applyFill="1" applyBorder="1" applyAlignment="1" applyProtection="1">
      <alignment horizontal="center"/>
      <protection locked="0"/>
    </xf>
    <xf numFmtId="3" fontId="14" fillId="0" borderId="100" xfId="0" applyFont="1" applyFill="1" applyBorder="1" applyAlignment="1" applyProtection="1">
      <alignment horizontal="center"/>
      <protection locked="0"/>
    </xf>
    <xf numFmtId="167" fontId="12" fillId="0" borderId="100" xfId="4" applyNumberFormat="1" applyFont="1" applyFill="1" applyBorder="1" applyAlignment="1" applyProtection="1">
      <alignment horizontal="center"/>
      <protection locked="0"/>
    </xf>
    <xf numFmtId="167" fontId="12" fillId="0" borderId="106" xfId="4" applyNumberFormat="1" applyFont="1" applyFill="1" applyBorder="1" applyAlignment="1" applyProtection="1">
      <alignment horizontal="center"/>
      <protection locked="0"/>
    </xf>
    <xf numFmtId="2" fontId="12" fillId="0" borderId="100" xfId="4" applyNumberFormat="1" applyFont="1" applyFill="1" applyBorder="1" applyAlignment="1" applyProtection="1">
      <alignment horizontal="center"/>
      <protection locked="0"/>
    </xf>
    <xf numFmtId="167" fontId="12" fillId="0" borderId="107" xfId="4" applyNumberFormat="1" applyFont="1" applyFill="1" applyBorder="1" applyAlignment="1" applyProtection="1">
      <alignment horizontal="center"/>
      <protection locked="0"/>
    </xf>
    <xf numFmtId="2" fontId="12" fillId="0" borderId="108" xfId="4" applyNumberFormat="1" applyFont="1" applyFill="1" applyBorder="1" applyAlignment="1" applyProtection="1">
      <alignment horizontal="center"/>
      <protection locked="0"/>
    </xf>
    <xf numFmtId="167" fontId="12" fillId="0" borderId="108" xfId="4" applyNumberFormat="1" applyFont="1" applyFill="1" applyBorder="1" applyAlignment="1" applyProtection="1">
      <alignment horizontal="center"/>
      <protection locked="0"/>
    </xf>
    <xf numFmtId="167" fontId="12" fillId="0" borderId="109" xfId="4" applyNumberFormat="1" applyFont="1" applyFill="1" applyBorder="1" applyAlignment="1" applyProtection="1">
      <alignment horizontal="center"/>
      <protection locked="0"/>
    </xf>
    <xf numFmtId="3" fontId="12" fillId="0" borderId="42" xfId="0" applyFont="1" applyFill="1" applyBorder="1" applyProtection="1">
      <protection locked="0"/>
    </xf>
    <xf numFmtId="3" fontId="12" fillId="0" borderId="50" xfId="0" applyFont="1" applyFill="1" applyBorder="1" applyProtection="1">
      <protection locked="0"/>
    </xf>
    <xf numFmtId="3" fontId="12" fillId="0" borderId="47" xfId="0" applyFont="1" applyFill="1" applyBorder="1" applyProtection="1">
      <protection locked="0"/>
    </xf>
    <xf numFmtId="3" fontId="12" fillId="0" borderId="55" xfId="0" applyFont="1" applyFill="1" applyBorder="1" applyProtection="1">
      <protection locked="0"/>
    </xf>
    <xf numFmtId="3" fontId="12" fillId="0" borderId="38" xfId="0" applyFont="1" applyFill="1" applyBorder="1" applyProtection="1">
      <protection locked="0"/>
    </xf>
    <xf numFmtId="3" fontId="12" fillId="0" borderId="63" xfId="0" applyFont="1" applyFill="1" applyBorder="1" applyProtection="1">
      <protection locked="0"/>
    </xf>
    <xf numFmtId="165" fontId="13" fillId="10" borderId="1" xfId="0" applyNumberFormat="1" applyFont="1" applyFill="1" applyBorder="1"/>
    <xf numFmtId="165" fontId="13" fillId="10" borderId="26" xfId="0" applyNumberFormat="1" applyFont="1" applyFill="1" applyBorder="1"/>
    <xf numFmtId="3" fontId="13" fillId="10" borderId="57" xfId="0" applyFont="1" applyFill="1" applyBorder="1"/>
    <xf numFmtId="3" fontId="12" fillId="2" borderId="126" xfId="0" applyFont="1" applyFill="1" applyBorder="1"/>
    <xf numFmtId="3" fontId="22" fillId="2" borderId="126" xfId="0" applyFont="1" applyFill="1" applyBorder="1"/>
    <xf numFmtId="164" fontId="12" fillId="2" borderId="65" xfId="0" applyNumberFormat="1" applyFont="1" applyFill="1" applyBorder="1"/>
    <xf numFmtId="3" fontId="13" fillId="7" borderId="95" xfId="0" applyFont="1" applyFill="1" applyBorder="1" applyAlignment="1">
      <alignment horizontal="center"/>
    </xf>
    <xf numFmtId="3" fontId="12" fillId="2" borderId="39" xfId="0" applyFont="1" applyFill="1" applyBorder="1"/>
    <xf numFmtId="3" fontId="12" fillId="2" borderId="32" xfId="0" applyFont="1" applyFill="1" applyBorder="1"/>
    <xf numFmtId="3" fontId="12" fillId="15" borderId="33" xfId="0" applyFont="1" applyFill="1" applyBorder="1" applyAlignment="1" applyProtection="1">
      <alignment wrapText="1"/>
      <protection locked="0"/>
    </xf>
    <xf numFmtId="3" fontId="12" fillId="15" borderId="34" xfId="0" applyFont="1" applyFill="1" applyBorder="1" applyAlignment="1" applyProtection="1">
      <alignment wrapText="1"/>
      <protection locked="0"/>
    </xf>
    <xf numFmtId="3" fontId="12" fillId="15" borderId="36" xfId="0" applyFont="1" applyFill="1" applyBorder="1" applyAlignment="1" applyProtection="1">
      <alignment wrapText="1"/>
      <protection locked="0"/>
    </xf>
    <xf numFmtId="3" fontId="12" fillId="15" borderId="37" xfId="0" applyFont="1" applyFill="1" applyBorder="1" applyAlignment="1" applyProtection="1">
      <alignment wrapText="1"/>
      <protection locked="0"/>
    </xf>
    <xf numFmtId="9" fontId="0" fillId="0" borderId="0" xfId="4" applyFont="1"/>
    <xf numFmtId="164" fontId="12" fillId="15" borderId="36" xfId="0" applyNumberFormat="1" applyFont="1" applyFill="1" applyBorder="1" applyAlignment="1" applyProtection="1">
      <alignment wrapText="1"/>
      <protection locked="0"/>
    </xf>
    <xf numFmtId="164" fontId="12" fillId="15" borderId="37" xfId="0" applyNumberFormat="1" applyFont="1" applyFill="1" applyBorder="1" applyAlignment="1" applyProtection="1">
      <alignment wrapText="1"/>
      <protection locked="0"/>
    </xf>
    <xf numFmtId="3" fontId="31" fillId="0" borderId="0" xfId="0" applyFont="1"/>
    <xf numFmtId="3" fontId="12" fillId="0" borderId="80" xfId="0" applyFont="1" applyFill="1" applyBorder="1" applyAlignment="1" applyProtection="1">
      <alignment wrapText="1"/>
      <protection locked="0"/>
    </xf>
    <xf numFmtId="3" fontId="12" fillId="0" borderId="71" xfId="0" applyFont="1" applyFill="1" applyBorder="1" applyAlignment="1" applyProtection="1">
      <alignment wrapText="1"/>
      <protection locked="0"/>
    </xf>
    <xf numFmtId="3" fontId="32" fillId="0" borderId="71" xfId="0" applyFont="1" applyFill="1" applyBorder="1" applyAlignment="1" applyProtection="1">
      <alignment wrapText="1"/>
      <protection locked="0"/>
    </xf>
    <xf numFmtId="3" fontId="12" fillId="0" borderId="32" xfId="0" applyFont="1" applyFill="1" applyBorder="1" applyAlignment="1" applyProtection="1">
      <alignment wrapText="1"/>
      <protection locked="0"/>
    </xf>
    <xf numFmtId="3" fontId="12" fillId="0" borderId="35" xfId="0" applyFont="1" applyFill="1" applyBorder="1" applyAlignment="1" applyProtection="1">
      <alignment wrapText="1"/>
      <protection locked="0"/>
    </xf>
    <xf numFmtId="3" fontId="12" fillId="15" borderId="35" xfId="0" applyFont="1" applyFill="1" applyBorder="1" applyAlignment="1" applyProtection="1">
      <alignment wrapText="1"/>
      <protection locked="0"/>
    </xf>
    <xf numFmtId="164" fontId="12" fillId="15" borderId="35" xfId="0" applyNumberFormat="1" applyFont="1" applyFill="1" applyBorder="1" applyAlignment="1" applyProtection="1">
      <alignment wrapText="1"/>
      <protection locked="0"/>
    </xf>
    <xf numFmtId="3" fontId="0" fillId="0" borderId="127" xfId="0" applyBorder="1"/>
    <xf numFmtId="3" fontId="13" fillId="7" borderId="128" xfId="0" applyFont="1" applyFill="1" applyBorder="1" applyAlignment="1" applyProtection="1">
      <alignment horizontal="center" vertical="center"/>
    </xf>
    <xf numFmtId="3" fontId="12" fillId="15" borderId="111" xfId="0" applyFont="1" applyFill="1" applyBorder="1" applyAlignment="1" applyProtection="1">
      <alignment wrapText="1"/>
      <protection locked="0"/>
    </xf>
    <xf numFmtId="3" fontId="12" fillId="15" borderId="112" xfId="0" applyFont="1" applyFill="1" applyBorder="1" applyAlignment="1" applyProtection="1">
      <alignment wrapText="1"/>
      <protection locked="0"/>
    </xf>
    <xf numFmtId="3" fontId="12" fillId="0" borderId="112" xfId="0" applyFont="1" applyFill="1" applyBorder="1" applyAlignment="1" applyProtection="1">
      <alignment wrapText="1"/>
      <protection locked="0"/>
    </xf>
    <xf numFmtId="9" fontId="12" fillId="0" borderId="112" xfId="4" applyFont="1" applyFill="1" applyBorder="1" applyAlignment="1" applyProtection="1">
      <alignment wrapText="1"/>
      <protection locked="0"/>
    </xf>
    <xf numFmtId="4" fontId="13" fillId="7" borderId="4" xfId="0" applyNumberFormat="1" applyFont="1" applyFill="1" applyBorder="1" applyAlignment="1">
      <alignment horizontal="center"/>
    </xf>
    <xf numFmtId="3" fontId="19" fillId="15" borderId="0" xfId="0" applyFont="1" applyFill="1"/>
    <xf numFmtId="3" fontId="12" fillId="0" borderId="59" xfId="0" applyFont="1" applyBorder="1" applyProtection="1">
      <protection locked="0"/>
    </xf>
    <xf numFmtId="9" fontId="12" fillId="0" borderId="130" xfId="4" applyFont="1" applyBorder="1" applyProtection="1">
      <protection locked="0"/>
    </xf>
    <xf numFmtId="2" fontId="12" fillId="0" borderId="130" xfId="4" applyNumberFormat="1" applyFont="1" applyBorder="1" applyProtection="1">
      <protection locked="0"/>
    </xf>
    <xf numFmtId="9" fontId="12" fillId="0" borderId="131" xfId="4" applyFont="1" applyBorder="1" applyProtection="1">
      <protection locked="0"/>
    </xf>
    <xf numFmtId="3" fontId="13" fillId="7" borderId="8" xfId="0" applyFont="1" applyFill="1" applyBorder="1" applyAlignment="1">
      <alignment horizontal="center"/>
    </xf>
    <xf numFmtId="3" fontId="13" fillId="7" borderId="64" xfId="0" applyFont="1" applyFill="1" applyBorder="1" applyAlignment="1">
      <alignment horizontal="center"/>
    </xf>
    <xf numFmtId="3" fontId="13" fillId="7" borderId="8" xfId="0" applyFont="1" applyFill="1" applyBorder="1" applyAlignment="1"/>
    <xf numFmtId="3" fontId="13" fillId="7" borderId="64" xfId="0" applyFont="1" applyFill="1" applyBorder="1" applyAlignment="1"/>
    <xf numFmtId="164" fontId="12" fillId="5" borderId="37" xfId="4" applyNumberFormat="1" applyFont="1" applyFill="1" applyBorder="1" applyProtection="1">
      <protection locked="0"/>
    </xf>
    <xf numFmtId="3" fontId="13" fillId="5" borderId="132" xfId="0" applyFont="1" applyFill="1" applyBorder="1"/>
    <xf numFmtId="9" fontId="12" fillId="0" borderId="133" xfId="4" applyFont="1" applyBorder="1" applyProtection="1">
      <protection locked="0"/>
    </xf>
    <xf numFmtId="9" fontId="12" fillId="0" borderId="134" xfId="4" applyFont="1" applyBorder="1" applyProtection="1">
      <protection locked="0"/>
    </xf>
    <xf numFmtId="9" fontId="12" fillId="0" borderId="54" xfId="4" applyFont="1" applyBorder="1" applyProtection="1">
      <protection locked="0"/>
    </xf>
    <xf numFmtId="3" fontId="13" fillId="5" borderId="135" xfId="0" applyFont="1" applyFill="1" applyBorder="1"/>
    <xf numFmtId="9" fontId="12" fillId="5" borderId="37" xfId="4" applyFont="1" applyFill="1" applyBorder="1" applyProtection="1">
      <protection locked="0"/>
    </xf>
    <xf numFmtId="164" fontId="12" fillId="5" borderId="46" xfId="4" applyNumberFormat="1" applyFont="1" applyFill="1" applyBorder="1" applyProtection="1">
      <protection locked="0"/>
    </xf>
    <xf numFmtId="164" fontId="12" fillId="5" borderId="36" xfId="4" applyNumberFormat="1" applyFont="1" applyFill="1" applyBorder="1" applyProtection="1">
      <protection locked="0"/>
    </xf>
    <xf numFmtId="3" fontId="31" fillId="4" borderId="0" xfId="0" applyFont="1" applyFill="1"/>
    <xf numFmtId="3" fontId="0" fillId="4" borderId="0" xfId="0" applyFill="1"/>
    <xf numFmtId="3" fontId="0" fillId="4" borderId="131" xfId="0" applyFill="1" applyBorder="1"/>
    <xf numFmtId="3" fontId="0" fillId="4" borderId="105" xfId="0" applyFill="1" applyBorder="1"/>
    <xf numFmtId="3" fontId="0" fillId="4" borderId="100" xfId="0" applyFill="1" applyBorder="1"/>
    <xf numFmtId="3" fontId="0" fillId="4" borderId="106" xfId="0" applyFill="1" applyBorder="1"/>
    <xf numFmtId="3" fontId="4" fillId="4" borderId="105" xfId="0" applyFont="1" applyFill="1" applyBorder="1"/>
    <xf numFmtId="3" fontId="0" fillId="4" borderId="107" xfId="0" applyFill="1" applyBorder="1"/>
    <xf numFmtId="3" fontId="0" fillId="4" borderId="108" xfId="0" applyFill="1" applyBorder="1"/>
    <xf numFmtId="3" fontId="0" fillId="4" borderId="109" xfId="0" applyFill="1" applyBorder="1"/>
    <xf numFmtId="3" fontId="0" fillId="4" borderId="183" xfId="0" applyFill="1" applyBorder="1"/>
    <xf numFmtId="3" fontId="0" fillId="4" borderId="184" xfId="0" applyFill="1" applyBorder="1"/>
    <xf numFmtId="3" fontId="0" fillId="4" borderId="115" xfId="0" applyFill="1" applyBorder="1"/>
    <xf numFmtId="3" fontId="0" fillId="4" borderId="119" xfId="0" applyFill="1" applyBorder="1"/>
    <xf numFmtId="3" fontId="0" fillId="4" borderId="116" xfId="0" applyFill="1" applyBorder="1"/>
    <xf numFmtId="3" fontId="4" fillId="4" borderId="186" xfId="0" applyFont="1" applyFill="1" applyBorder="1"/>
    <xf numFmtId="3" fontId="4" fillId="4" borderId="186" xfId="0" applyFont="1" applyFill="1" applyBorder="1" applyAlignment="1">
      <alignment horizontal="right"/>
    </xf>
    <xf numFmtId="3" fontId="4" fillId="4" borderId="187" xfId="0" applyFont="1" applyFill="1" applyBorder="1" applyAlignment="1">
      <alignment horizontal="right"/>
    </xf>
    <xf numFmtId="3" fontId="0" fillId="6" borderId="105" xfId="0" applyFill="1" applyBorder="1"/>
    <xf numFmtId="3" fontId="0" fillId="6" borderId="100" xfId="0" applyFill="1" applyBorder="1"/>
    <xf numFmtId="3" fontId="0" fillId="6" borderId="106" xfId="0" applyFill="1" applyBorder="1"/>
    <xf numFmtId="4" fontId="0" fillId="6" borderId="100" xfId="0" applyNumberFormat="1" applyFill="1" applyBorder="1"/>
    <xf numFmtId="4" fontId="0" fillId="6" borderId="106" xfId="0" applyNumberFormat="1" applyFill="1" applyBorder="1"/>
    <xf numFmtId="3" fontId="4" fillId="6" borderId="102" xfId="0" applyFont="1" applyFill="1" applyBorder="1"/>
    <xf numFmtId="3" fontId="4" fillId="6" borderId="2" xfId="0" applyFont="1" applyFill="1" applyBorder="1"/>
    <xf numFmtId="3" fontId="4" fillId="6" borderId="14" xfId="0" applyFont="1" applyFill="1" applyBorder="1"/>
    <xf numFmtId="3" fontId="0" fillId="6" borderId="2" xfId="0" applyFill="1" applyBorder="1"/>
    <xf numFmtId="3" fontId="0" fillId="6" borderId="14" xfId="0" applyFill="1" applyBorder="1"/>
    <xf numFmtId="3" fontId="4" fillId="6" borderId="105" xfId="0" applyFont="1" applyFill="1" applyBorder="1"/>
    <xf numFmtId="3" fontId="4" fillId="6" borderId="100" xfId="0" applyFont="1" applyFill="1" applyBorder="1"/>
    <xf numFmtId="3" fontId="4" fillId="6" borderId="106" xfId="0" applyFont="1" applyFill="1" applyBorder="1"/>
    <xf numFmtId="3" fontId="0" fillId="4" borderId="179" xfId="0" applyFont="1" applyFill="1" applyBorder="1"/>
    <xf numFmtId="3" fontId="0" fillId="4" borderId="59" xfId="0" applyFill="1" applyBorder="1"/>
    <xf numFmtId="3" fontId="0" fillId="6" borderId="130" xfId="0" applyFill="1" applyBorder="1"/>
    <xf numFmtId="3" fontId="0" fillId="4" borderId="130" xfId="0" applyFill="1" applyBorder="1"/>
    <xf numFmtId="3" fontId="31" fillId="4" borderId="130" xfId="0" applyFont="1" applyFill="1" applyBorder="1"/>
    <xf numFmtId="3" fontId="0" fillId="4" borderId="188" xfId="0" applyFill="1" applyBorder="1"/>
    <xf numFmtId="3" fontId="4" fillId="6" borderId="11" xfId="0" applyFont="1" applyFill="1" applyBorder="1"/>
    <xf numFmtId="3" fontId="0" fillId="6" borderId="11" xfId="0" applyFill="1" applyBorder="1"/>
    <xf numFmtId="3" fontId="0" fillId="4" borderId="130" xfId="0" applyFont="1" applyFill="1" applyBorder="1"/>
    <xf numFmtId="3" fontId="0" fillId="4" borderId="188" xfId="0" applyFont="1" applyFill="1" applyBorder="1"/>
    <xf numFmtId="3" fontId="0" fillId="6" borderId="11" xfId="0" applyFont="1" applyFill="1" applyBorder="1"/>
    <xf numFmtId="3" fontId="4" fillId="6" borderId="130" xfId="0" applyFont="1" applyFill="1" applyBorder="1"/>
    <xf numFmtId="3" fontId="4" fillId="4" borderId="189" xfId="0" applyFont="1" applyFill="1" applyBorder="1" applyAlignment="1">
      <alignment horizontal="right"/>
    </xf>
    <xf numFmtId="3" fontId="0" fillId="4" borderId="60" xfId="0" applyFill="1" applyBorder="1"/>
    <xf numFmtId="3" fontId="0" fillId="6" borderId="190" xfId="0" applyFill="1" applyBorder="1"/>
    <xf numFmtId="4" fontId="0" fillId="6" borderId="190" xfId="0" applyNumberFormat="1" applyFill="1" applyBorder="1"/>
    <xf numFmtId="3" fontId="0" fillId="4" borderId="190" xfId="0" applyFill="1" applyBorder="1"/>
    <xf numFmtId="3" fontId="0" fillId="4" borderId="191" xfId="0" applyFill="1" applyBorder="1"/>
    <xf numFmtId="3" fontId="4" fillId="6" borderId="13" xfId="0" applyFont="1" applyFill="1" applyBorder="1"/>
    <xf numFmtId="3" fontId="0" fillId="6" borderId="13" xfId="0" applyFill="1" applyBorder="1"/>
    <xf numFmtId="3" fontId="4" fillId="6" borderId="190" xfId="0" applyFont="1" applyFill="1" applyBorder="1"/>
    <xf numFmtId="3" fontId="0" fillId="4" borderId="192" xfId="0" applyFill="1" applyBorder="1"/>
    <xf numFmtId="3" fontId="4" fillId="4" borderId="185" xfId="0" applyFont="1" applyFill="1" applyBorder="1"/>
    <xf numFmtId="3" fontId="4" fillId="4" borderId="187" xfId="0" applyFont="1" applyFill="1" applyBorder="1"/>
    <xf numFmtId="3" fontId="4" fillId="4" borderId="182" xfId="0" applyFont="1" applyFill="1" applyBorder="1"/>
    <xf numFmtId="3" fontId="4" fillId="4" borderId="115" xfId="0" applyFont="1" applyFill="1" applyBorder="1"/>
    <xf numFmtId="3" fontId="0" fillId="4" borderId="180" xfId="0" applyFill="1" applyBorder="1"/>
    <xf numFmtId="3" fontId="0" fillId="4" borderId="181" xfId="0" applyFill="1" applyBorder="1"/>
    <xf numFmtId="164" fontId="0" fillId="0" borderId="0" xfId="0" applyNumberFormat="1"/>
    <xf numFmtId="164" fontId="12" fillId="15" borderId="112" xfId="0" applyNumberFormat="1" applyFont="1" applyFill="1" applyBorder="1" applyAlignment="1" applyProtection="1">
      <alignment wrapText="1"/>
      <protection locked="0"/>
    </xf>
    <xf numFmtId="164" fontId="12" fillId="0" borderId="35" xfId="0" applyNumberFormat="1" applyFont="1" applyFill="1" applyBorder="1" applyAlignment="1" applyProtection="1">
      <alignment wrapText="1"/>
      <protection locked="0"/>
    </xf>
    <xf numFmtId="164" fontId="12" fillId="0" borderId="36" xfId="0" applyNumberFormat="1" applyFont="1" applyFill="1" applyBorder="1" applyAlignment="1" applyProtection="1">
      <alignment wrapText="1"/>
      <protection locked="0"/>
    </xf>
    <xf numFmtId="164" fontId="12" fillId="0" borderId="37" xfId="0" applyNumberFormat="1" applyFont="1" applyFill="1" applyBorder="1" applyAlignment="1" applyProtection="1">
      <alignment wrapText="1"/>
      <protection locked="0"/>
    </xf>
    <xf numFmtId="164" fontId="12" fillId="2" borderId="37" xfId="0" applyNumberFormat="1" applyFont="1" applyFill="1" applyBorder="1"/>
    <xf numFmtId="164" fontId="12" fillId="2" borderId="45" xfId="0" applyNumberFormat="1" applyFont="1" applyFill="1" applyBorder="1"/>
    <xf numFmtId="167" fontId="12" fillId="5" borderId="36" xfId="4" applyNumberFormat="1" applyFont="1" applyFill="1" applyBorder="1" applyProtection="1">
      <protection locked="0"/>
    </xf>
    <xf numFmtId="3" fontId="13" fillId="0" borderId="0" xfId="0" applyFont="1" applyAlignment="1">
      <alignment horizontal="right"/>
    </xf>
    <xf numFmtId="3" fontId="13" fillId="0" borderId="12" xfId="0" applyFont="1" applyBorder="1"/>
    <xf numFmtId="3" fontId="32" fillId="0" borderId="0" xfId="0" applyFont="1"/>
    <xf numFmtId="4" fontId="12" fillId="0" borderId="36" xfId="0" applyNumberFormat="1" applyFont="1" applyBorder="1" applyProtection="1">
      <protection locked="0"/>
    </xf>
    <xf numFmtId="3" fontId="12" fillId="5" borderId="33" xfId="0" applyFont="1" applyFill="1" applyBorder="1" applyProtection="1">
      <protection locked="0"/>
    </xf>
    <xf numFmtId="9" fontId="12" fillId="5" borderId="36" xfId="4" applyFont="1" applyFill="1" applyBorder="1" applyProtection="1">
      <protection locked="0"/>
    </xf>
    <xf numFmtId="3" fontId="12" fillId="5" borderId="36" xfId="0" applyFont="1" applyFill="1" applyBorder="1" applyProtection="1">
      <protection locked="0"/>
    </xf>
    <xf numFmtId="3" fontId="12" fillId="0" borderId="36" xfId="0" applyFont="1" applyFill="1" applyBorder="1"/>
    <xf numFmtId="3" fontId="13" fillId="0" borderId="82" xfId="0" applyFont="1" applyFill="1" applyBorder="1"/>
    <xf numFmtId="3" fontId="13" fillId="0" borderId="81" xfId="0" applyFont="1" applyFill="1" applyBorder="1"/>
    <xf numFmtId="3" fontId="12" fillId="5" borderId="43" xfId="4" applyNumberFormat="1" applyFont="1" applyFill="1" applyBorder="1" applyProtection="1">
      <protection locked="0"/>
    </xf>
    <xf numFmtId="3" fontId="13" fillId="0" borderId="0" xfId="0" applyFont="1" applyBorder="1"/>
    <xf numFmtId="164" fontId="12" fillId="9" borderId="41" xfId="0" applyNumberFormat="1" applyFont="1" applyFill="1" applyBorder="1" applyProtection="1">
      <protection locked="0"/>
    </xf>
    <xf numFmtId="4" fontId="12" fillId="0" borderId="36" xfId="0" applyNumberFormat="1" applyFont="1" applyFill="1" applyBorder="1" applyProtection="1">
      <protection locked="0"/>
    </xf>
    <xf numFmtId="4" fontId="12" fillId="0" borderId="0" xfId="0" applyNumberFormat="1" applyFont="1"/>
    <xf numFmtId="3" fontId="12" fillId="5" borderId="133" xfId="4" applyNumberFormat="1" applyFont="1" applyFill="1" applyBorder="1" applyProtection="1">
      <protection locked="0"/>
    </xf>
    <xf numFmtId="3" fontId="12" fillId="5" borderId="1" xfId="0" applyFont="1" applyFill="1" applyBorder="1"/>
    <xf numFmtId="3" fontId="12" fillId="18" borderId="0" xfId="0" applyFont="1" applyFill="1"/>
    <xf numFmtId="165" fontId="12" fillId="0" borderId="0" xfId="0" applyNumberFormat="1" applyFont="1"/>
    <xf numFmtId="3" fontId="12" fillId="19" borderId="0" xfId="0" applyFont="1" applyFill="1"/>
    <xf numFmtId="3" fontId="12" fillId="20" borderId="0" xfId="0" applyFont="1" applyFill="1"/>
    <xf numFmtId="3" fontId="12" fillId="17" borderId="0" xfId="0" applyFont="1" applyFill="1"/>
    <xf numFmtId="3" fontId="33" fillId="0" borderId="0" xfId="0" applyFont="1" applyFill="1"/>
    <xf numFmtId="3" fontId="12" fillId="9" borderId="46" xfId="0" applyFont="1" applyFill="1" applyBorder="1"/>
    <xf numFmtId="3" fontId="12" fillId="9" borderId="36" xfId="0" applyFont="1" applyFill="1" applyBorder="1"/>
    <xf numFmtId="3" fontId="12" fillId="9" borderId="37" xfId="0" applyFont="1" applyFill="1" applyBorder="1"/>
    <xf numFmtId="3" fontId="12" fillId="9" borderId="62" xfId="0" applyFont="1" applyFill="1" applyBorder="1"/>
    <xf numFmtId="3" fontId="12" fillId="9" borderId="39" xfId="0" applyFont="1" applyFill="1" applyBorder="1"/>
    <xf numFmtId="3" fontId="12" fillId="9" borderId="43" xfId="0" applyFont="1" applyFill="1" applyBorder="1"/>
    <xf numFmtId="3" fontId="12" fillId="9" borderId="41" xfId="0" applyFont="1" applyFill="1" applyBorder="1"/>
    <xf numFmtId="3" fontId="13" fillId="9" borderId="193" xfId="0" applyFont="1" applyFill="1" applyBorder="1"/>
    <xf numFmtId="3" fontId="13" fillId="9" borderId="46" xfId="0" applyFont="1" applyFill="1" applyBorder="1"/>
    <xf numFmtId="3" fontId="13" fillId="9" borderId="44" xfId="0" applyFont="1" applyFill="1" applyBorder="1"/>
    <xf numFmtId="3" fontId="13" fillId="9" borderId="171" xfId="0" applyFont="1" applyFill="1" applyBorder="1"/>
    <xf numFmtId="3" fontId="12" fillId="9" borderId="172" xfId="0" applyFont="1" applyFill="1" applyBorder="1"/>
    <xf numFmtId="3" fontId="13" fillId="9" borderId="172" xfId="0" applyFont="1" applyFill="1" applyBorder="1"/>
    <xf numFmtId="3" fontId="13" fillId="9" borderId="173" xfId="0" applyFont="1" applyFill="1" applyBorder="1"/>
    <xf numFmtId="3" fontId="13" fillId="9" borderId="82" xfId="0" applyFont="1" applyFill="1" applyBorder="1"/>
    <xf numFmtId="3" fontId="32" fillId="4" borderId="0" xfId="0" applyFont="1" applyFill="1"/>
    <xf numFmtId="3" fontId="12" fillId="4" borderId="0" xfId="0" applyFont="1" applyFill="1"/>
    <xf numFmtId="3" fontId="13" fillId="4" borderId="149" xfId="0" applyFont="1" applyFill="1" applyBorder="1"/>
    <xf numFmtId="3" fontId="13" fillId="4" borderId="150" xfId="0" applyFont="1" applyFill="1" applyBorder="1"/>
    <xf numFmtId="3" fontId="13" fillId="4" borderId="151" xfId="0" applyFont="1" applyFill="1" applyBorder="1"/>
    <xf numFmtId="3" fontId="13" fillId="4" borderId="162" xfId="0" applyFont="1" applyFill="1" applyBorder="1"/>
    <xf numFmtId="3" fontId="13" fillId="4" borderId="163" xfId="0" applyFont="1" applyFill="1" applyBorder="1"/>
    <xf numFmtId="3" fontId="12" fillId="4" borderId="146" xfId="0" applyFont="1" applyFill="1" applyBorder="1"/>
    <xf numFmtId="3" fontId="12" fillId="4" borderId="147" xfId="0" applyFont="1" applyFill="1" applyBorder="1"/>
    <xf numFmtId="3" fontId="12" fillId="16" borderId="148" xfId="0" applyFont="1" applyFill="1" applyBorder="1"/>
    <xf numFmtId="3" fontId="12" fillId="4" borderId="159" xfId="0" applyFont="1" applyFill="1" applyBorder="1"/>
    <xf numFmtId="3" fontId="12" fillId="16" borderId="160" xfId="0" applyFont="1" applyFill="1" applyBorder="1"/>
    <xf numFmtId="3" fontId="12" fillId="4" borderId="137" xfId="0" applyFont="1" applyFill="1" applyBorder="1"/>
    <xf numFmtId="3" fontId="12" fillId="4" borderId="136" xfId="0" applyFont="1" applyFill="1" applyBorder="1"/>
    <xf numFmtId="3" fontId="12" fillId="16" borderId="138" xfId="0" applyFont="1" applyFill="1" applyBorder="1"/>
    <xf numFmtId="3" fontId="12" fillId="4" borderId="153" xfId="0" applyFont="1" applyFill="1" applyBorder="1"/>
    <xf numFmtId="3" fontId="12" fillId="16" borderId="154" xfId="0" applyFont="1" applyFill="1" applyBorder="1"/>
    <xf numFmtId="3" fontId="12" fillId="4" borderId="141" xfId="0" applyFont="1" applyFill="1" applyBorder="1"/>
    <xf numFmtId="3" fontId="12" fillId="4" borderId="142" xfId="0" applyFont="1" applyFill="1" applyBorder="1"/>
    <xf numFmtId="3" fontId="12" fillId="16" borderId="177" xfId="0" applyFont="1" applyFill="1" applyBorder="1"/>
    <xf numFmtId="3" fontId="12" fillId="4" borderId="167" xfId="0" applyFont="1" applyFill="1" applyBorder="1"/>
    <xf numFmtId="3" fontId="12" fillId="16" borderId="178" xfId="0" applyFont="1" applyFill="1" applyBorder="1"/>
    <xf numFmtId="3" fontId="12" fillId="4" borderId="139" xfId="0" applyFont="1" applyFill="1" applyBorder="1"/>
    <xf numFmtId="3" fontId="12" fillId="4" borderId="140" xfId="0" applyFont="1" applyFill="1" applyBorder="1"/>
    <xf numFmtId="3" fontId="12" fillId="4" borderId="175" xfId="0" applyFont="1" applyFill="1" applyBorder="1"/>
    <xf numFmtId="3" fontId="13" fillId="16" borderId="129" xfId="0" applyFont="1" applyFill="1" applyBorder="1"/>
    <xf numFmtId="3" fontId="12" fillId="4" borderId="165" xfId="0" applyFont="1" applyFill="1" applyBorder="1"/>
    <xf numFmtId="3" fontId="12" fillId="4" borderId="176" xfId="0" applyFont="1" applyFill="1" applyBorder="1"/>
    <xf numFmtId="3" fontId="12" fillId="4" borderId="168" xfId="0" applyFont="1" applyFill="1" applyBorder="1"/>
    <xf numFmtId="3" fontId="12" fillId="16" borderId="169" xfId="0" applyFont="1" applyFill="1" applyBorder="1"/>
    <xf numFmtId="3" fontId="12" fillId="4" borderId="169" xfId="0" applyFont="1" applyFill="1" applyBorder="1" applyAlignment="1">
      <alignment horizontal="left"/>
    </xf>
    <xf numFmtId="3" fontId="12" fillId="4" borderId="170" xfId="0" applyFont="1" applyFill="1" applyBorder="1" applyAlignment="1"/>
    <xf numFmtId="3" fontId="12" fillId="4" borderId="0" xfId="0" applyFont="1" applyFill="1" applyAlignment="1"/>
    <xf numFmtId="3" fontId="13" fillId="4" borderId="172" xfId="0" applyFont="1" applyFill="1" applyBorder="1" applyAlignment="1">
      <alignment horizontal="right"/>
    </xf>
    <xf numFmtId="3" fontId="13" fillId="4" borderId="173" xfId="0" applyFont="1" applyFill="1" applyBorder="1" applyAlignment="1">
      <alignment horizontal="right"/>
    </xf>
    <xf numFmtId="3" fontId="12" fillId="4" borderId="46" xfId="0" applyFont="1" applyFill="1" applyBorder="1"/>
    <xf numFmtId="3" fontId="12" fillId="16" borderId="36" xfId="0" applyFont="1" applyFill="1" applyBorder="1"/>
    <xf numFmtId="3" fontId="12" fillId="4" borderId="36" xfId="0" applyFont="1" applyFill="1" applyBorder="1" applyAlignment="1">
      <alignment horizontal="left"/>
    </xf>
    <xf numFmtId="3" fontId="12" fillId="4" borderId="37" xfId="0" applyFont="1" applyFill="1" applyBorder="1" applyAlignment="1"/>
    <xf numFmtId="3" fontId="13" fillId="16" borderId="169" xfId="0" applyFont="1" applyFill="1" applyBorder="1"/>
    <xf numFmtId="3" fontId="12" fillId="4" borderId="169" xfId="0" applyFont="1" applyFill="1" applyBorder="1"/>
    <xf numFmtId="3" fontId="12" fillId="4" borderId="170" xfId="0" applyFont="1" applyFill="1" applyBorder="1"/>
    <xf numFmtId="3" fontId="13" fillId="16" borderId="41" xfId="0" applyFont="1" applyFill="1" applyBorder="1"/>
    <xf numFmtId="3" fontId="12" fillId="4" borderId="41" xfId="0" applyFont="1" applyFill="1" applyBorder="1"/>
    <xf numFmtId="3" fontId="12" fillId="4" borderId="45" xfId="0" applyFont="1" applyFill="1" applyBorder="1"/>
    <xf numFmtId="9" fontId="12" fillId="4" borderId="0" xfId="4" applyFont="1" applyFill="1"/>
    <xf numFmtId="4" fontId="12" fillId="4" borderId="0" xfId="0" applyNumberFormat="1" applyFont="1" applyFill="1"/>
    <xf numFmtId="3" fontId="12" fillId="4" borderId="44" xfId="0" applyFont="1" applyFill="1" applyBorder="1" applyAlignment="1">
      <alignment horizontal="left"/>
    </xf>
    <xf numFmtId="3" fontId="12" fillId="4" borderId="41" xfId="0" applyFont="1" applyFill="1" applyBorder="1" applyAlignment="1">
      <alignment horizontal="left"/>
    </xf>
    <xf numFmtId="3" fontId="12" fillId="16" borderId="41" xfId="0" applyFont="1" applyFill="1" applyBorder="1"/>
    <xf numFmtId="3" fontId="12" fillId="16" borderId="37" xfId="0" applyFont="1" applyFill="1" applyBorder="1"/>
    <xf numFmtId="3" fontId="12" fillId="4" borderId="53" xfId="0" applyFont="1" applyFill="1" applyBorder="1" applyAlignment="1"/>
    <xf numFmtId="3" fontId="12" fillId="4" borderId="69" xfId="0" applyFont="1" applyFill="1" applyBorder="1" applyAlignment="1">
      <alignment horizontal="left"/>
    </xf>
    <xf numFmtId="4" fontId="12" fillId="4" borderId="70" xfId="0" applyNumberFormat="1" applyFont="1" applyFill="1" applyBorder="1" applyAlignment="1">
      <alignment horizontal="right"/>
    </xf>
    <xf numFmtId="4" fontId="13" fillId="16" borderId="70" xfId="0" applyNumberFormat="1" applyFont="1" applyFill="1" applyBorder="1"/>
    <xf numFmtId="3" fontId="12" fillId="16" borderId="70" xfId="0" applyFont="1" applyFill="1" applyBorder="1"/>
    <xf numFmtId="3" fontId="12" fillId="16" borderId="174" xfId="0" applyFont="1" applyFill="1" applyBorder="1"/>
    <xf numFmtId="3" fontId="12" fillId="4" borderId="131" xfId="0" applyFont="1" applyFill="1" applyBorder="1"/>
    <xf numFmtId="3" fontId="12" fillId="4" borderId="93" xfId="0" applyFont="1" applyFill="1" applyBorder="1"/>
    <xf numFmtId="3" fontId="13" fillId="4" borderId="129" xfId="0" applyFont="1" applyFill="1" applyBorder="1" applyAlignment="1"/>
    <xf numFmtId="3" fontId="12" fillId="16" borderId="45" xfId="0" applyFont="1" applyFill="1" applyBorder="1"/>
    <xf numFmtId="3" fontId="12" fillId="4" borderId="62" xfId="0" applyFont="1" applyFill="1" applyBorder="1" applyAlignment="1">
      <alignment horizontal="left"/>
    </xf>
    <xf numFmtId="4" fontId="12" fillId="4" borderId="39" xfId="0" applyNumberFormat="1" applyFont="1" applyFill="1" applyBorder="1" applyAlignment="1">
      <alignment horizontal="right"/>
    </xf>
    <xf numFmtId="4" fontId="13" fillId="16" borderId="39" xfId="0" applyNumberFormat="1" applyFont="1" applyFill="1" applyBorder="1"/>
    <xf numFmtId="3" fontId="12" fillId="16" borderId="39" xfId="0" applyFont="1" applyFill="1" applyBorder="1"/>
    <xf numFmtId="3" fontId="12" fillId="16" borderId="40" xfId="0" applyFont="1" applyFill="1" applyBorder="1"/>
    <xf numFmtId="3" fontId="12" fillId="4" borderId="46" xfId="0" applyFont="1" applyFill="1" applyBorder="1" applyAlignment="1">
      <alignment horizontal="left"/>
    </xf>
    <xf numFmtId="3" fontId="12" fillId="4" borderId="36" xfId="0" applyFont="1" applyFill="1" applyBorder="1" applyAlignment="1">
      <alignment horizontal="right"/>
    </xf>
    <xf numFmtId="3" fontId="13" fillId="16" borderId="36" xfId="0" applyFont="1" applyFill="1" applyBorder="1"/>
    <xf numFmtId="3" fontId="12" fillId="4" borderId="36" xfId="0" applyFont="1" applyFill="1" applyBorder="1"/>
    <xf numFmtId="3" fontId="12" fillId="4" borderId="37" xfId="0" applyFont="1" applyFill="1" applyBorder="1"/>
    <xf numFmtId="3" fontId="12" fillId="4" borderId="39" xfId="0" applyFont="1" applyFill="1" applyBorder="1" applyAlignment="1">
      <alignment horizontal="right"/>
    </xf>
    <xf numFmtId="3" fontId="13" fillId="16" borderId="133" xfId="0" applyFont="1" applyFill="1" applyBorder="1"/>
    <xf numFmtId="3" fontId="12" fillId="4" borderId="133" xfId="0" applyFont="1" applyFill="1" applyBorder="1"/>
    <xf numFmtId="3" fontId="12" fillId="4" borderId="54" xfId="0" applyFont="1" applyFill="1" applyBorder="1"/>
    <xf numFmtId="3" fontId="12" fillId="4" borderId="41" xfId="0" applyFont="1" applyFill="1" applyBorder="1" applyAlignment="1">
      <alignment horizontal="right"/>
    </xf>
    <xf numFmtId="3" fontId="13" fillId="0" borderId="36" xfId="0" applyFont="1" applyFill="1" applyBorder="1"/>
    <xf numFmtId="3" fontId="12" fillId="4" borderId="62" xfId="0" applyFont="1" applyFill="1" applyBorder="1" applyAlignment="1"/>
    <xf numFmtId="3" fontId="13" fillId="16" borderId="39" xfId="0" applyFont="1" applyFill="1" applyBorder="1"/>
    <xf numFmtId="3" fontId="12" fillId="4" borderId="39" xfId="0" applyFont="1" applyFill="1" applyBorder="1"/>
    <xf numFmtId="3" fontId="12" fillId="4" borderId="40" xfId="0" applyFont="1" applyFill="1" applyBorder="1"/>
    <xf numFmtId="3" fontId="12" fillId="4" borderId="0" xfId="0" applyFont="1" applyFill="1" applyAlignment="1">
      <alignment horizontal="left"/>
    </xf>
    <xf numFmtId="164" fontId="12" fillId="15" borderId="0" xfId="0" applyNumberFormat="1" applyFont="1" applyFill="1"/>
    <xf numFmtId="3" fontId="12" fillId="9" borderId="133" xfId="0" applyFont="1" applyFill="1" applyBorder="1"/>
    <xf numFmtId="3" fontId="12" fillId="9" borderId="194" xfId="0" applyFont="1" applyFill="1" applyBorder="1"/>
    <xf numFmtId="3" fontId="12" fillId="9" borderId="47" xfId="0" applyFont="1" applyFill="1" applyBorder="1"/>
    <xf numFmtId="9" fontId="12" fillId="9" borderId="133" xfId="4" applyFont="1" applyFill="1" applyBorder="1"/>
    <xf numFmtId="9" fontId="12" fillId="9" borderId="36" xfId="4" applyFont="1" applyFill="1" applyBorder="1"/>
    <xf numFmtId="164" fontId="12" fillId="0" borderId="169" xfId="0" applyNumberFormat="1" applyFont="1" applyBorder="1"/>
    <xf numFmtId="3" fontId="12" fillId="9" borderId="168" xfId="0" applyFont="1" applyFill="1" applyBorder="1"/>
    <xf numFmtId="9" fontId="12" fillId="0" borderId="93" xfId="4" applyFont="1" applyBorder="1"/>
    <xf numFmtId="9" fontId="12" fillId="9" borderId="195" xfId="4" applyFont="1" applyFill="1" applyBorder="1"/>
    <xf numFmtId="9" fontId="12" fillId="9" borderId="129" xfId="4" applyFont="1" applyFill="1" applyBorder="1"/>
    <xf numFmtId="3" fontId="33" fillId="0" borderId="0" xfId="0" applyFont="1"/>
    <xf numFmtId="3" fontId="12" fillId="0" borderId="86" xfId="0" applyFont="1" applyFill="1" applyBorder="1"/>
    <xf numFmtId="3" fontId="12" fillId="0" borderId="173" xfId="0" applyFont="1" applyFill="1" applyBorder="1"/>
    <xf numFmtId="3" fontId="12" fillId="5" borderId="171" xfId="0" applyFont="1" applyFill="1" applyBorder="1"/>
    <xf numFmtId="3" fontId="13" fillId="0" borderId="129" xfId="0" applyFont="1" applyFill="1" applyBorder="1" applyAlignment="1">
      <alignment horizontal="center"/>
    </xf>
    <xf numFmtId="4" fontId="0" fillId="4" borderId="0" xfId="0" applyNumberFormat="1" applyFill="1"/>
    <xf numFmtId="3" fontId="12" fillId="5" borderId="168" xfId="0" applyFont="1" applyFill="1" applyBorder="1"/>
    <xf numFmtId="3" fontId="12" fillId="5" borderId="62" xfId="0" applyFont="1" applyFill="1" applyBorder="1"/>
    <xf numFmtId="9" fontId="12" fillId="5" borderId="195" xfId="4" applyFont="1" applyFill="1" applyBorder="1"/>
    <xf numFmtId="9" fontId="12" fillId="5" borderId="129" xfId="4" applyFont="1" applyFill="1" applyBorder="1"/>
    <xf numFmtId="164" fontId="12" fillId="0" borderId="33" xfId="0" applyNumberFormat="1" applyFont="1" applyFill="1" applyBorder="1" applyProtection="1">
      <protection locked="0"/>
    </xf>
    <xf numFmtId="164" fontId="12" fillId="0" borderId="0" xfId="0" applyNumberFormat="1" applyFont="1" applyFill="1" applyBorder="1" applyAlignment="1" applyProtection="1">
      <alignment wrapText="1"/>
      <protection locked="0"/>
    </xf>
    <xf numFmtId="164" fontId="12" fillId="4" borderId="36" xfId="0" applyNumberFormat="1" applyFont="1" applyFill="1" applyBorder="1"/>
    <xf numFmtId="164" fontId="12" fillId="4" borderId="37" xfId="0" applyNumberFormat="1" applyFont="1" applyFill="1" applyBorder="1"/>
    <xf numFmtId="164" fontId="0" fillId="4" borderId="0" xfId="0" applyNumberFormat="1" applyFill="1"/>
    <xf numFmtId="3" fontId="12" fillId="0" borderId="169" xfId="0" applyFont="1" applyFill="1" applyBorder="1"/>
    <xf numFmtId="3" fontId="12" fillId="0" borderId="43" xfId="0" applyFont="1" applyFill="1" applyBorder="1"/>
    <xf numFmtId="4" fontId="0" fillId="0" borderId="0" xfId="0" applyNumberFormat="1"/>
    <xf numFmtId="164" fontId="12" fillId="0" borderId="0" xfId="0" applyNumberFormat="1" applyFont="1" applyProtection="1">
      <protection locked="0"/>
    </xf>
    <xf numFmtId="164" fontId="12" fillId="0" borderId="0" xfId="0" applyNumberFormat="1" applyFont="1" applyProtection="1"/>
    <xf numFmtId="164" fontId="13" fillId="7" borderId="74" xfId="0" applyNumberFormat="1" applyFont="1" applyFill="1" applyBorder="1" applyAlignment="1" applyProtection="1">
      <alignment horizontal="center" vertical="center" wrapText="1"/>
    </xf>
    <xf numFmtId="164" fontId="12" fillId="0" borderId="39" xfId="0" applyNumberFormat="1" applyFont="1" applyFill="1" applyBorder="1" applyProtection="1">
      <protection locked="0"/>
    </xf>
    <xf numFmtId="164" fontId="12" fillId="7" borderId="70" xfId="0" applyNumberFormat="1" applyFont="1" applyFill="1" applyBorder="1" applyProtection="1"/>
    <xf numFmtId="164" fontId="12" fillId="0" borderId="0" xfId="0" applyNumberFormat="1" applyFont="1" applyFill="1" applyProtection="1">
      <protection locked="0"/>
    </xf>
    <xf numFmtId="164" fontId="0" fillId="0" borderId="0" xfId="0" applyNumberFormat="1" applyFill="1" applyProtection="1">
      <protection locked="0"/>
    </xf>
    <xf numFmtId="164" fontId="0" fillId="0" borderId="0" xfId="0" applyNumberFormat="1" applyProtection="1">
      <protection locked="0"/>
    </xf>
    <xf numFmtId="168" fontId="0" fillId="0" borderId="0" xfId="4" applyNumberFormat="1" applyFont="1"/>
    <xf numFmtId="3" fontId="12" fillId="15" borderId="0" xfId="0" applyFont="1" applyFill="1" applyBorder="1" applyAlignment="1" applyProtection="1">
      <alignment wrapText="1"/>
      <protection locked="0"/>
    </xf>
    <xf numFmtId="3" fontId="12" fillId="15" borderId="36" xfId="0" applyNumberFormat="1" applyFont="1" applyFill="1" applyBorder="1" applyAlignment="1" applyProtection="1">
      <alignment wrapText="1"/>
      <protection locked="0"/>
    </xf>
    <xf numFmtId="3" fontId="12" fillId="4" borderId="0" xfId="0" applyFont="1" applyFill="1" applyBorder="1"/>
    <xf numFmtId="3" fontId="0" fillId="17" borderId="0" xfId="0" applyFill="1"/>
    <xf numFmtId="167" fontId="0" fillId="0" borderId="0" xfId="0" applyNumberFormat="1"/>
    <xf numFmtId="168" fontId="0" fillId="0" borderId="0" xfId="0" applyNumberFormat="1"/>
    <xf numFmtId="168" fontId="0" fillId="17" borderId="0" xfId="4" applyNumberFormat="1" applyFont="1" applyFill="1"/>
    <xf numFmtId="9" fontId="0" fillId="0" borderId="0" xfId="0" applyNumberFormat="1"/>
    <xf numFmtId="17" fontId="0" fillId="0" borderId="0" xfId="0" applyNumberFormat="1"/>
    <xf numFmtId="3" fontId="0" fillId="0" borderId="30" xfId="0" applyBorder="1"/>
    <xf numFmtId="3" fontId="0" fillId="21" borderId="0" xfId="0" applyFill="1"/>
    <xf numFmtId="3" fontId="34" fillId="0" borderId="0" xfId="0" applyFont="1"/>
    <xf numFmtId="3" fontId="0" fillId="9" borderId="95" xfId="0" applyFill="1" applyBorder="1"/>
    <xf numFmtId="167" fontId="0" fillId="0" borderId="15" xfId="0" applyNumberFormat="1" applyBorder="1"/>
    <xf numFmtId="167" fontId="0" fillId="0" borderId="0" xfId="0" applyNumberFormat="1" applyBorder="1"/>
    <xf numFmtId="3" fontId="0" fillId="0" borderId="0" xfId="0" applyBorder="1"/>
    <xf numFmtId="3" fontId="0" fillId="0" borderId="15" xfId="0" applyBorder="1"/>
    <xf numFmtId="167" fontId="0" fillId="0" borderId="30" xfId="0" applyNumberFormat="1" applyBorder="1"/>
    <xf numFmtId="3" fontId="0" fillId="15" borderId="190" xfId="0" applyFill="1" applyBorder="1"/>
    <xf numFmtId="3" fontId="0" fillId="15" borderId="100" xfId="0" applyFill="1" applyBorder="1"/>
    <xf numFmtId="3" fontId="0" fillId="15" borderId="106" xfId="0" applyFill="1" applyBorder="1"/>
    <xf numFmtId="3" fontId="0" fillId="15" borderId="191" xfId="0" applyFill="1" applyBorder="1"/>
    <xf numFmtId="3" fontId="0" fillId="15" borderId="183" xfId="0" applyFill="1" applyBorder="1"/>
    <xf numFmtId="3" fontId="0" fillId="15" borderId="184" xfId="0" applyFill="1" applyBorder="1"/>
    <xf numFmtId="3" fontId="38" fillId="4" borderId="0" xfId="0" applyFont="1" applyFill="1"/>
    <xf numFmtId="3" fontId="0" fillId="0" borderId="0" xfId="0" applyNumberFormat="1"/>
    <xf numFmtId="3" fontId="0" fillId="4" borderId="0" xfId="0" applyNumberFormat="1" applyFill="1"/>
    <xf numFmtId="3" fontId="0" fillId="22" borderId="0" xfId="0" applyFill="1"/>
    <xf numFmtId="3" fontId="0" fillId="8" borderId="0" xfId="0" applyFill="1"/>
    <xf numFmtId="3" fontId="0" fillId="4" borderId="130" xfId="0" quotePrefix="1" applyFill="1" applyBorder="1"/>
    <xf numFmtId="164" fontId="12" fillId="23" borderId="35" xfId="0" applyNumberFormat="1" applyFont="1" applyFill="1" applyBorder="1" applyAlignment="1" applyProtection="1">
      <alignment wrapText="1"/>
      <protection locked="0"/>
    </xf>
    <xf numFmtId="164" fontId="12" fillId="23" borderId="36" xfId="0" applyNumberFormat="1" applyFont="1" applyFill="1" applyBorder="1" applyAlignment="1" applyProtection="1">
      <alignment wrapText="1"/>
      <protection locked="0"/>
    </xf>
    <xf numFmtId="164" fontId="12" fillId="23" borderId="37" xfId="0" applyNumberFormat="1" applyFont="1" applyFill="1" applyBorder="1" applyAlignment="1" applyProtection="1">
      <alignment wrapText="1"/>
      <protection locked="0"/>
    </xf>
    <xf numFmtId="3" fontId="12" fillId="12" borderId="35" xfId="0" applyFont="1" applyFill="1" applyBorder="1" applyProtection="1"/>
    <xf numFmtId="3" fontId="5" fillId="0" borderId="0" xfId="0" applyFont="1" applyFill="1" applyAlignment="1">
      <alignment horizontal="left" vertical="center" wrapText="1"/>
    </xf>
    <xf numFmtId="0" fontId="12" fillId="0" borderId="0" xfId="2" applyFont="1" applyFill="1" applyAlignment="1">
      <alignment horizontal="left" vertical="top" wrapText="1"/>
    </xf>
    <xf numFmtId="0" fontId="12" fillId="0" borderId="0" xfId="2" applyNumberFormat="1" applyFont="1" applyFill="1" applyAlignment="1">
      <alignment wrapText="1"/>
    </xf>
    <xf numFmtId="0" fontId="11" fillId="0" borderId="0" xfId="3" applyFont="1" applyFill="1" applyAlignment="1">
      <alignment wrapText="1"/>
    </xf>
    <xf numFmtId="3" fontId="12" fillId="0" borderId="0" xfId="0" applyFont="1" applyFill="1" applyAlignment="1"/>
    <xf numFmtId="3" fontId="0" fillId="21" borderId="56" xfId="0" applyFill="1" applyBorder="1" applyAlignment="1">
      <alignment horizontal="center" vertical="center"/>
    </xf>
    <xf numFmtId="3" fontId="0" fillId="19" borderId="56" xfId="0" applyFill="1" applyBorder="1" applyAlignment="1">
      <alignment horizontal="center" vertical="center"/>
    </xf>
    <xf numFmtId="3" fontId="17" fillId="0" borderId="0" xfId="0" applyFont="1" applyAlignment="1" applyProtection="1">
      <alignment horizontal="center"/>
      <protection locked="0"/>
    </xf>
    <xf numFmtId="3" fontId="17" fillId="0" borderId="0" xfId="0" applyFont="1" applyAlignment="1">
      <alignment horizontal="center"/>
    </xf>
    <xf numFmtId="3" fontId="25" fillId="0" borderId="0" xfId="1" applyNumberFormat="1" applyFont="1" applyAlignment="1">
      <alignment horizontal="left"/>
    </xf>
    <xf numFmtId="3" fontId="13" fillId="6" borderId="120" xfId="0" applyFont="1" applyFill="1" applyBorder="1" applyAlignment="1">
      <alignment horizontal="center"/>
    </xf>
    <xf numFmtId="3" fontId="13" fillId="6" borderId="121" xfId="0" applyFont="1" applyFill="1" applyBorder="1" applyAlignment="1">
      <alignment horizontal="center"/>
    </xf>
    <xf numFmtId="3" fontId="13" fillId="6" borderId="122" xfId="0" applyFont="1" applyFill="1" applyBorder="1" applyAlignment="1">
      <alignment horizontal="center"/>
    </xf>
    <xf numFmtId="3" fontId="13" fillId="6" borderId="8" xfId="0" applyFont="1" applyFill="1" applyBorder="1" applyAlignment="1">
      <alignment horizontal="center"/>
    </xf>
    <xf numFmtId="3" fontId="13" fillId="6" borderId="4" xfId="0" applyFont="1" applyFill="1" applyBorder="1" applyAlignment="1">
      <alignment horizontal="center"/>
    </xf>
    <xf numFmtId="3" fontId="13" fillId="6" borderId="64" xfId="0" applyFont="1" applyFill="1" applyBorder="1" applyAlignment="1">
      <alignment horizontal="center"/>
    </xf>
    <xf numFmtId="3" fontId="13" fillId="3" borderId="8" xfId="0" applyFont="1" applyFill="1" applyBorder="1" applyAlignment="1">
      <alignment horizontal="center"/>
    </xf>
    <xf numFmtId="3" fontId="13" fillId="3" borderId="4" xfId="0" applyFont="1" applyFill="1" applyBorder="1" applyAlignment="1">
      <alignment horizontal="center"/>
    </xf>
    <xf numFmtId="3" fontId="13" fillId="3" borderId="64" xfId="0" applyFont="1" applyFill="1" applyBorder="1" applyAlignment="1">
      <alignment horizontal="center"/>
    </xf>
    <xf numFmtId="3" fontId="13" fillId="12" borderId="8" xfId="0" applyFont="1" applyFill="1" applyBorder="1" applyAlignment="1">
      <alignment horizontal="center" wrapText="1"/>
    </xf>
    <xf numFmtId="3" fontId="13" fillId="12" borderId="4" xfId="0" applyFont="1" applyFill="1" applyBorder="1" applyAlignment="1">
      <alignment horizontal="center" wrapText="1"/>
    </xf>
    <xf numFmtId="3" fontId="13" fillId="12" borderId="64" xfId="0" applyFont="1" applyFill="1" applyBorder="1" applyAlignment="1">
      <alignment horizontal="center" wrapText="1"/>
    </xf>
    <xf numFmtId="3" fontId="12" fillId="4" borderId="168" xfId="0" applyFont="1" applyFill="1" applyBorder="1" applyAlignment="1">
      <alignment horizontal="left"/>
    </xf>
    <xf numFmtId="3" fontId="12" fillId="4" borderId="169" xfId="0" applyFont="1" applyFill="1" applyBorder="1" applyAlignment="1">
      <alignment horizontal="left"/>
    </xf>
    <xf numFmtId="3" fontId="12" fillId="4" borderId="130" xfId="0" applyFont="1" applyFill="1" applyBorder="1" applyAlignment="1">
      <alignment horizontal="left"/>
    </xf>
    <xf numFmtId="3" fontId="12" fillId="4" borderId="35" xfId="0" applyFont="1" applyFill="1" applyBorder="1" applyAlignment="1">
      <alignment horizontal="left"/>
    </xf>
    <xf numFmtId="3" fontId="13" fillId="4" borderId="179" xfId="0" applyFont="1" applyFill="1" applyBorder="1" applyAlignment="1">
      <alignment horizontal="center"/>
    </xf>
    <xf numFmtId="3" fontId="13" fillId="4" borderId="85" xfId="0" applyFont="1" applyFill="1" applyBorder="1" applyAlignment="1">
      <alignment horizontal="center"/>
    </xf>
    <xf numFmtId="3" fontId="13" fillId="4" borderId="86" xfId="0" applyFont="1" applyFill="1" applyBorder="1" applyAlignment="1">
      <alignment horizontal="center"/>
    </xf>
    <xf numFmtId="3" fontId="13" fillId="4" borderId="171" xfId="0" applyFont="1" applyFill="1" applyBorder="1" applyAlignment="1">
      <alignment horizontal="left"/>
    </xf>
    <xf numFmtId="3" fontId="13" fillId="4" borderId="172" xfId="0" applyFont="1" applyFill="1" applyBorder="1" applyAlignment="1">
      <alignment horizontal="left"/>
    </xf>
    <xf numFmtId="3" fontId="12" fillId="4" borderId="46" xfId="0" applyFont="1" applyFill="1" applyBorder="1" applyAlignment="1">
      <alignment horizontal="left"/>
    </xf>
    <xf numFmtId="3" fontId="12" fillId="4" borderId="36" xfId="0" applyFont="1" applyFill="1" applyBorder="1" applyAlignment="1">
      <alignment horizontal="left"/>
    </xf>
    <xf numFmtId="3" fontId="12" fillId="4" borderId="38" xfId="0" applyFont="1" applyFill="1" applyBorder="1" applyAlignment="1">
      <alignment horizontal="left"/>
    </xf>
    <xf numFmtId="3" fontId="12" fillId="4" borderId="39" xfId="0" applyFont="1" applyFill="1" applyBorder="1" applyAlignment="1">
      <alignment horizontal="left"/>
    </xf>
    <xf numFmtId="3" fontId="12" fillId="4" borderId="152" xfId="0" applyFont="1" applyFill="1" applyBorder="1" applyAlignment="1">
      <alignment horizontal="left"/>
    </xf>
    <xf numFmtId="3" fontId="12" fillId="4" borderId="153" xfId="0" applyFont="1" applyFill="1" applyBorder="1" applyAlignment="1">
      <alignment horizontal="left"/>
    </xf>
    <xf numFmtId="3" fontId="12" fillId="4" borderId="166" xfId="0" applyFont="1" applyFill="1" applyBorder="1" applyAlignment="1">
      <alignment horizontal="left"/>
    </xf>
    <xf numFmtId="3" fontId="12" fillId="4" borderId="167" xfId="0" applyFont="1" applyFill="1" applyBorder="1" applyAlignment="1">
      <alignment horizontal="left"/>
    </xf>
    <xf numFmtId="3" fontId="12" fillId="4" borderId="164" xfId="0" applyFont="1" applyFill="1" applyBorder="1" applyAlignment="1">
      <alignment horizontal="left"/>
    </xf>
    <xf numFmtId="3" fontId="12" fillId="4" borderId="165" xfId="0" applyFont="1" applyFill="1" applyBorder="1" applyAlignment="1">
      <alignment horizontal="left"/>
    </xf>
    <xf numFmtId="3" fontId="13" fillId="4" borderId="155" xfId="0" applyFont="1" applyFill="1" applyBorder="1" applyAlignment="1">
      <alignment horizontal="center"/>
    </xf>
    <xf numFmtId="3" fontId="13" fillId="4" borderId="156" xfId="0" applyFont="1" applyFill="1" applyBorder="1" applyAlignment="1">
      <alignment horizontal="center"/>
    </xf>
    <xf numFmtId="3" fontId="13" fillId="4" borderId="157" xfId="0" applyFont="1" applyFill="1" applyBorder="1" applyAlignment="1">
      <alignment horizontal="center"/>
    </xf>
    <xf numFmtId="3" fontId="13" fillId="4" borderId="161" xfId="0" applyFont="1" applyFill="1" applyBorder="1" applyAlignment="1">
      <alignment horizontal="left"/>
    </xf>
    <xf numFmtId="3" fontId="13" fillId="4" borderId="162" xfId="0" applyFont="1" applyFill="1" applyBorder="1" applyAlignment="1">
      <alignment horizontal="left"/>
    </xf>
    <xf numFmtId="3" fontId="12" fillId="4" borderId="158" xfId="0" applyFont="1" applyFill="1" applyBorder="1" applyAlignment="1">
      <alignment horizontal="left"/>
    </xf>
    <xf numFmtId="3" fontId="12" fillId="4" borderId="159" xfId="0" applyFont="1" applyFill="1" applyBorder="1" applyAlignment="1">
      <alignment horizontal="left"/>
    </xf>
    <xf numFmtId="3" fontId="13" fillId="4" borderId="143" xfId="0" applyFont="1" applyFill="1" applyBorder="1" applyAlignment="1">
      <alignment horizontal="center"/>
    </xf>
    <xf numFmtId="3" fontId="13" fillId="4" borderId="144" xfId="0" applyFont="1" applyFill="1" applyBorder="1" applyAlignment="1">
      <alignment horizontal="center"/>
    </xf>
    <xf numFmtId="3" fontId="13" fillId="4" borderId="145" xfId="0" applyFont="1" applyFill="1" applyBorder="1" applyAlignment="1">
      <alignment horizontal="center"/>
    </xf>
  </cellXfs>
  <cellStyles count="10">
    <cellStyle name="Comma 2" xfId="9" xr:uid="{00000000-0005-0000-0000-000001000000}"/>
    <cellStyle name="Comma 3" xfId="6" xr:uid="{00000000-0005-0000-0000-000033000000}"/>
    <cellStyle name="Hyperlink" xfId="1" builtinId="8" customBuiltin="1"/>
    <cellStyle name="Hyperlink 2" xfId="8" xr:uid="{00000000-0005-0000-0000-000035000000}"/>
    <cellStyle name="Normal" xfId="0" builtinId="0"/>
    <cellStyle name="Normal 2" xfId="5" xr:uid="{00000000-0005-0000-0000-000036000000}"/>
    <cellStyle name="Normal 2 3" xfId="2" xr:uid="{00000000-0005-0000-0000-000002000000}"/>
    <cellStyle name="Normal 5" xfId="3" xr:uid="{00000000-0005-0000-0000-000003000000}"/>
    <cellStyle name="Percent" xfId="4" builtinId="5"/>
    <cellStyle name="Percent 2" xfId="7" xr:uid="{00000000-0005-0000-0000-00003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AU"/>
              <a:t>Average Pasture Cover W/WO Supplements</a:t>
            </a:r>
          </a:p>
        </c:rich>
      </c:tx>
      <c:overlay val="0"/>
      <c:spPr>
        <a:noFill/>
        <a:ln w="25400">
          <a:noFill/>
        </a:ln>
      </c:spPr>
    </c:title>
    <c:autoTitleDeleted val="0"/>
    <c:plotArea>
      <c:layout/>
      <c:lineChart>
        <c:grouping val="standard"/>
        <c:varyColors val="0"/>
        <c:ser>
          <c:idx val="0"/>
          <c:order val="0"/>
          <c:tx>
            <c:v>APC without supplements</c:v>
          </c:tx>
          <c:spPr>
            <a:ln w="28575" cap="rnd">
              <a:solidFill>
                <a:schemeClr val="accent1"/>
              </a:solidFill>
              <a:round/>
            </a:ln>
            <a:effectLst/>
          </c:spPr>
          <c:marker>
            <c:symbol val="none"/>
          </c:marker>
          <c:cat>
            <c:strRef>
              <c:f>Summary!$D$36:$O$36</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Summary!$D$37:$O$37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E6D-4737-8056-0623033E6388}"/>
            </c:ext>
          </c:extLst>
        </c:ser>
        <c:ser>
          <c:idx val="1"/>
          <c:order val="1"/>
          <c:tx>
            <c:v>APC with supplements</c:v>
          </c:tx>
          <c:spPr>
            <a:ln w="28575" cap="rnd">
              <a:solidFill>
                <a:schemeClr val="accent2"/>
              </a:solidFill>
              <a:round/>
            </a:ln>
            <a:effectLst/>
          </c:spPr>
          <c:marker>
            <c:symbol val="none"/>
          </c:marker>
          <c:cat>
            <c:strRef>
              <c:f>Summary!$D$36:$O$36</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Summary!$D$38:$O$38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E6D-4737-8056-0623033E6388}"/>
            </c:ext>
          </c:extLst>
        </c:ser>
        <c:dLbls>
          <c:showLegendKey val="0"/>
          <c:showVal val="0"/>
          <c:showCatName val="0"/>
          <c:showSerName val="0"/>
          <c:showPercent val="0"/>
          <c:showBubbleSize val="0"/>
        </c:dLbls>
        <c:smooth val="0"/>
        <c:axId val="322423904"/>
        <c:axId val="322424296"/>
      </c:lineChart>
      <c:catAx>
        <c:axId val="32242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22424296"/>
        <c:crosses val="autoZero"/>
        <c:auto val="1"/>
        <c:lblAlgn val="ctr"/>
        <c:lblOffset val="100"/>
        <c:noMultiLvlLbl val="0"/>
      </c:catAx>
      <c:valAx>
        <c:axId val="322424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333333"/>
                    </a:solidFill>
                    <a:latin typeface="Calibri"/>
                    <a:ea typeface="Calibri"/>
                    <a:cs typeface="Calibri"/>
                  </a:defRPr>
                </a:pPr>
                <a:r>
                  <a:rPr lang="en-AU"/>
                  <a:t>Kg DM/ha</a:t>
                </a:r>
              </a:p>
            </c:rich>
          </c:tx>
          <c:overlay val="0"/>
          <c:spPr>
            <a:noFill/>
            <a:ln w="25400">
              <a:noFill/>
            </a:ln>
          </c:spPr>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22423904"/>
        <c:crosses val="autoZero"/>
        <c:crossBetween val="between"/>
      </c:valAx>
      <c:spPr>
        <a:noFill/>
        <a:ln w="25400">
          <a:noFill/>
        </a:ln>
      </c:spPr>
    </c:plotArea>
    <c:legend>
      <c:legendPos val="r"/>
      <c:layout>
        <c:manualLayout>
          <c:xMode val="edge"/>
          <c:yMode val="edge"/>
          <c:x val="0.7680486614012354"/>
          <c:y val="0.31481491600503442"/>
          <c:w val="0.19633787511047385"/>
          <c:h val="0.31326925563867319"/>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AU"/>
              <a:t>Pasture Growth Versus Feed Requirements</a:t>
            </a:r>
          </a:p>
        </c:rich>
      </c:tx>
      <c:overlay val="0"/>
      <c:spPr>
        <a:noFill/>
        <a:ln w="25400">
          <a:noFill/>
        </a:ln>
      </c:spPr>
    </c:title>
    <c:autoTitleDeleted val="0"/>
    <c:plotArea>
      <c:layout/>
      <c:lineChart>
        <c:grouping val="standard"/>
        <c:varyColors val="0"/>
        <c:ser>
          <c:idx val="1"/>
          <c:order val="0"/>
          <c:tx>
            <c:v>Average daily pasture growth rates</c:v>
          </c:tx>
          <c:spPr>
            <a:ln w="28575" cap="rnd">
              <a:solidFill>
                <a:schemeClr val="accent2"/>
              </a:solidFill>
              <a:round/>
            </a:ln>
            <a:effectLst/>
          </c:spPr>
          <c:marker>
            <c:symbol val="none"/>
          </c:marker>
          <c:cat>
            <c:strRef>
              <c:f>Summary!$D$63:$O$63</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Summary!$D$64:$O$64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BE1-4E5D-93BF-CFA54EBE0F0E}"/>
            </c:ext>
          </c:extLst>
        </c:ser>
        <c:ser>
          <c:idx val="0"/>
          <c:order val="1"/>
          <c:tx>
            <c:v>Average Daily feed requirements</c:v>
          </c:tx>
          <c:spPr>
            <a:ln w="28575" cap="rnd">
              <a:solidFill>
                <a:schemeClr val="accent1"/>
              </a:solidFill>
              <a:round/>
            </a:ln>
            <a:effectLst/>
          </c:spPr>
          <c:marker>
            <c:symbol val="none"/>
          </c:marker>
          <c:cat>
            <c:strRef>
              <c:f>Summary!$D$63:$O$63</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Summary!$D$65:$O$65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BE1-4E5D-93BF-CFA54EBE0F0E}"/>
            </c:ext>
          </c:extLst>
        </c:ser>
        <c:dLbls>
          <c:showLegendKey val="0"/>
          <c:showVal val="0"/>
          <c:showCatName val="0"/>
          <c:showSerName val="0"/>
          <c:showPercent val="0"/>
          <c:showBubbleSize val="0"/>
        </c:dLbls>
        <c:smooth val="0"/>
        <c:axId val="322421552"/>
        <c:axId val="322418416"/>
      </c:lineChart>
      <c:catAx>
        <c:axId val="32242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22418416"/>
        <c:crosses val="autoZero"/>
        <c:auto val="1"/>
        <c:lblAlgn val="ctr"/>
        <c:lblOffset val="100"/>
        <c:noMultiLvlLbl val="0"/>
      </c:catAx>
      <c:valAx>
        <c:axId val="322418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333333"/>
                    </a:solidFill>
                    <a:latin typeface="Calibri"/>
                    <a:ea typeface="Calibri"/>
                    <a:cs typeface="Calibri"/>
                  </a:defRPr>
                </a:pPr>
                <a:r>
                  <a:rPr lang="en-AU"/>
                  <a:t>Kg DM/ha/day</a:t>
                </a:r>
              </a:p>
            </c:rich>
          </c:tx>
          <c:overlay val="0"/>
          <c:spPr>
            <a:noFill/>
            <a:ln w="25400">
              <a:noFill/>
            </a:ln>
          </c:spPr>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22421552"/>
        <c:crosses val="autoZero"/>
        <c:crossBetween val="between"/>
      </c:valAx>
      <c:spPr>
        <a:noFill/>
        <a:ln w="25400">
          <a:noFill/>
        </a:ln>
      </c:spPr>
    </c:plotArea>
    <c:legend>
      <c:legendPos val="r"/>
      <c:layout>
        <c:manualLayout>
          <c:xMode val="edge"/>
          <c:yMode val="edge"/>
          <c:x val="0.71619228718077421"/>
          <c:y val="0.30556208232471982"/>
          <c:w val="0.24923716300467536"/>
          <c:h val="0.35953342404024613"/>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AU"/>
              <a:t>Total pasture growth contributed by each fodder system</a:t>
            </a:r>
          </a:p>
        </c:rich>
      </c:tx>
      <c:overlay val="0"/>
      <c:spPr>
        <a:noFill/>
        <a:ln w="25400">
          <a:noFill/>
        </a:ln>
      </c:spPr>
    </c:title>
    <c:autoTitleDeleted val="0"/>
    <c:plotArea>
      <c:layout/>
      <c:barChart>
        <c:barDir val="col"/>
        <c:grouping val="clustered"/>
        <c:varyColors val="0"/>
        <c:ser>
          <c:idx val="0"/>
          <c:order val="0"/>
          <c:tx>
            <c:strRef>
              <c:f>Summary!$B$6</c:f>
              <c:strCache>
                <c:ptCount val="1"/>
                <c:pt idx="0">
                  <c:v>Irr - Kik/Chic/Oats</c:v>
                </c:pt>
              </c:strCache>
            </c:strRef>
          </c:tx>
          <c:spPr>
            <a:ln w="28575" cap="rnd">
              <a:solidFill>
                <a:schemeClr val="accent1"/>
              </a:solidFill>
              <a:round/>
            </a:ln>
            <a:effectLst/>
          </c:spPr>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Summary!$D$6:$O$6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E6D-4737-8056-0623033E6388}"/>
            </c:ext>
          </c:extLst>
        </c:ser>
        <c:ser>
          <c:idx val="1"/>
          <c:order val="1"/>
          <c:tx>
            <c:strRef>
              <c:f>Summary!$B$7</c:f>
              <c:strCache>
                <c:ptCount val="1"/>
                <c:pt idx="0">
                  <c:v>Dry - Kik/Chic/Oats</c:v>
                </c:pt>
              </c:strCache>
            </c:strRef>
          </c:tx>
          <c:spPr>
            <a:ln w="28575" cap="rnd">
              <a:solidFill>
                <a:schemeClr val="accent2"/>
              </a:solidFill>
              <a:round/>
            </a:ln>
            <a:effectLst/>
          </c:spPr>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Summary!$D$7:$O$7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E6D-4737-8056-0623033E6388}"/>
            </c:ext>
          </c:extLst>
        </c:ser>
        <c:ser>
          <c:idx val="2"/>
          <c:order val="2"/>
          <c:tx>
            <c:strRef>
              <c:f>Summary!$B$8</c:f>
              <c:strCache>
                <c:ptCount val="1"/>
                <c:pt idx="0">
                  <c:v>Dry - Kik</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479-4761-9F97-02A8E6E8DC13}"/>
            </c:ext>
          </c:extLst>
        </c:ser>
        <c:ser>
          <c:idx val="3"/>
          <c:order val="3"/>
          <c:tx>
            <c:strRef>
              <c:f>Summary!$B$9</c:f>
              <c:strCache>
                <c:ptCount val="1"/>
                <c:pt idx="0">
                  <c:v>0</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479-4761-9F97-02A8E6E8DC13}"/>
            </c:ext>
          </c:extLst>
        </c:ser>
        <c:ser>
          <c:idx val="4"/>
          <c:order val="4"/>
          <c:tx>
            <c:strRef>
              <c:f>Summary!$B$10</c:f>
              <c:strCache>
                <c:ptCount val="1"/>
                <c:pt idx="0">
                  <c:v>0</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479-4761-9F97-02A8E6E8DC13}"/>
            </c:ext>
          </c:extLst>
        </c:ser>
        <c:ser>
          <c:idx val="5"/>
          <c:order val="5"/>
          <c:tx>
            <c:strRef>
              <c:f>Summary!$B$11</c:f>
              <c:strCache>
                <c:ptCount val="1"/>
                <c:pt idx="0">
                  <c:v>Irr - Hi - Pasture</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479-4761-9F97-02A8E6E8DC13}"/>
            </c:ext>
          </c:extLst>
        </c:ser>
        <c:ser>
          <c:idx val="6"/>
          <c:order val="6"/>
          <c:tx>
            <c:strRef>
              <c:f>Summary!$B$12</c:f>
              <c:strCache>
                <c:ptCount val="1"/>
                <c:pt idx="0">
                  <c:v>Irr - Med - Pasture</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479-4761-9F97-02A8E6E8DC13}"/>
            </c:ext>
          </c:extLst>
        </c:ser>
        <c:ser>
          <c:idx val="7"/>
          <c:order val="7"/>
          <c:tx>
            <c:strRef>
              <c:f>Summary!$B$13</c:f>
              <c:strCache>
                <c:ptCount val="1"/>
                <c:pt idx="0">
                  <c:v>Irr - Lo - Pasture</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Summary!$D$13:$O$13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479-4761-9F97-02A8E6E8DC13}"/>
            </c:ext>
          </c:extLst>
        </c:ser>
        <c:ser>
          <c:idx val="8"/>
          <c:order val="8"/>
          <c:tx>
            <c:strRef>
              <c:f>Summary!$B$14</c:f>
              <c:strCache>
                <c:ptCount val="1"/>
                <c:pt idx="0">
                  <c:v>Dry - Pasture 1</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Summary!$D$14:$O$14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479-4761-9F97-02A8E6E8DC13}"/>
            </c:ext>
          </c:extLst>
        </c:ser>
        <c:ser>
          <c:idx val="9"/>
          <c:order val="9"/>
          <c:tx>
            <c:strRef>
              <c:f>Summary!$B$15</c:f>
              <c:strCache>
                <c:ptCount val="1"/>
                <c:pt idx="0">
                  <c:v>Dry - Pasture 2</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Summary!$D$15:$O$15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B479-4761-9F97-02A8E6E8DC13}"/>
            </c:ext>
          </c:extLst>
        </c:ser>
        <c:ser>
          <c:idx val="10"/>
          <c:order val="10"/>
          <c:tx>
            <c:strRef>
              <c:f>Summary!$B$16</c:f>
              <c:strCache>
                <c:ptCount val="1"/>
                <c:pt idx="0">
                  <c:v>Total</c:v>
                </c:pt>
              </c:strCache>
            </c:strRef>
          </c:tx>
          <c:invertIfNegative val="0"/>
          <c:cat>
            <c:strRef>
              <c:f>Summary!$D$5:$O$5</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Summary!$D$16:$O$16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479-4761-9F97-02A8E6E8DC13}"/>
            </c:ext>
          </c:extLst>
        </c:ser>
        <c:dLbls>
          <c:showLegendKey val="0"/>
          <c:showVal val="0"/>
          <c:showCatName val="0"/>
          <c:showSerName val="0"/>
          <c:showPercent val="0"/>
          <c:showBubbleSize val="0"/>
        </c:dLbls>
        <c:gapWidth val="150"/>
        <c:axId val="322420376"/>
        <c:axId val="322419592"/>
      </c:barChart>
      <c:catAx>
        <c:axId val="32242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22419592"/>
        <c:crosses val="autoZero"/>
        <c:auto val="1"/>
        <c:lblAlgn val="ctr"/>
        <c:lblOffset val="100"/>
        <c:noMultiLvlLbl val="0"/>
      </c:catAx>
      <c:valAx>
        <c:axId val="322419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333333"/>
                    </a:solidFill>
                    <a:latin typeface="Calibri"/>
                    <a:ea typeface="Calibri"/>
                    <a:cs typeface="Calibri"/>
                  </a:defRPr>
                </a:pPr>
                <a:r>
                  <a:rPr lang="en-AU"/>
                  <a:t>Kg DM/ha</a:t>
                </a:r>
              </a:p>
            </c:rich>
          </c:tx>
          <c:overlay val="0"/>
          <c:spPr>
            <a:noFill/>
            <a:ln w="25400">
              <a:noFill/>
            </a:ln>
          </c:spPr>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22420376"/>
        <c:crosses val="autoZero"/>
        <c:crossBetween val="between"/>
      </c:valAx>
      <c:spPr>
        <a:noFill/>
        <a:ln w="25400">
          <a:noFill/>
        </a:ln>
      </c:spPr>
    </c:plotArea>
    <c:legend>
      <c:legendPos val="r"/>
      <c:layout>
        <c:manualLayout>
          <c:xMode val="edge"/>
          <c:yMode val="edge"/>
          <c:x val="0.83855562594905508"/>
          <c:y val="8.9924651356830823E-2"/>
          <c:w val="0.16024778511881418"/>
          <c:h val="0.66957526535598144"/>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'[1]Milk Flow'!$A$4</c:f>
              <c:strCache>
                <c:ptCount val="1"/>
                <c:pt idx="0">
                  <c:v>L/day</c:v>
                </c:pt>
              </c:strCache>
            </c:strRef>
          </c:tx>
          <c:spPr>
            <a:ln w="28575" cap="rnd">
              <a:solidFill>
                <a:schemeClr val="accent2"/>
              </a:solidFill>
              <a:round/>
            </a:ln>
            <a:effectLst/>
          </c:spPr>
          <c:marker>
            <c:symbol val="none"/>
          </c:marker>
          <c:cat>
            <c:numRef>
              <c:f>'[1]Milk Flow'!$B$3:$KO$3</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cat>
          <c:val>
            <c:numRef>
              <c:f>'[1]Milk Flow'!$B$4:$KO$4</c:f>
              <c:numCache>
                <c:formatCode>General</c:formatCode>
                <c:ptCount val="300"/>
                <c:pt idx="0">
                  <c:v>12.937714422577596</c:v>
                </c:pt>
                <c:pt idx="1">
                  <c:v>13.082616824110467</c:v>
                </c:pt>
                <c:pt idx="2">
                  <c:v>13.229142132540506</c:v>
                </c:pt>
                <c:pt idx="3">
                  <c:v>13.377308524424961</c:v>
                </c:pt>
                <c:pt idx="4">
                  <c:v>13.527134379898522</c:v>
                </c:pt>
                <c:pt idx="5">
                  <c:v>13.678638284953387</c:v>
                </c:pt>
                <c:pt idx="6">
                  <c:v>13.831839033744865</c:v>
                </c:pt>
                <c:pt idx="7">
                  <c:v>13.98675563092281</c:v>
                </c:pt>
                <c:pt idx="8">
                  <c:v>14.143407293989146</c:v>
                </c:pt>
                <c:pt idx="9">
                  <c:v>14.301813455681826</c:v>
                </c:pt>
                <c:pt idx="10">
                  <c:v>14.461993766385463</c:v>
                </c:pt>
                <c:pt idx="11">
                  <c:v>14.623968096568982</c:v>
                </c:pt>
                <c:pt idx="12">
                  <c:v>14.787756539250555</c:v>
                </c:pt>
                <c:pt idx="13">
                  <c:v>14.953379412490163</c:v>
                </c:pt>
                <c:pt idx="14">
                  <c:v>15.120857261910054</c:v>
                </c:pt>
                <c:pt idx="15">
                  <c:v>15.290210863243448</c:v>
                </c:pt>
                <c:pt idx="16">
                  <c:v>15.461461224911776</c:v>
                </c:pt>
                <c:pt idx="17">
                  <c:v>15.634629590630789</c:v>
                </c:pt>
                <c:pt idx="18">
                  <c:v>15.809737442045856</c:v>
                </c:pt>
                <c:pt idx="19">
                  <c:v>15.986806501396771</c:v>
                </c:pt>
                <c:pt idx="20">
                  <c:v>16.165858734212417</c:v>
                </c:pt>
                <c:pt idx="21">
                  <c:v>16.346916352035599</c:v>
                </c:pt>
                <c:pt idx="22">
                  <c:v>16.530001815178398</c:v>
                </c:pt>
                <c:pt idx="23">
                  <c:v>16.715137835508397</c:v>
                </c:pt>
                <c:pt idx="24">
                  <c:v>16.902347379266093</c:v>
                </c:pt>
                <c:pt idx="25">
                  <c:v>17.091653669913875</c:v>
                </c:pt>
                <c:pt idx="26">
                  <c:v>17.283080191016911</c:v>
                </c:pt>
                <c:pt idx="27">
                  <c:v>17.476650689156301</c:v>
                </c:pt>
                <c:pt idx="28">
                  <c:v>17.672389176874855</c:v>
                </c:pt>
                <c:pt idx="29">
                  <c:v>17.870319935655854</c:v>
                </c:pt>
                <c:pt idx="30">
                  <c:v>18.0704675189352</c:v>
                </c:pt>
                <c:pt idx="31">
                  <c:v>18.272856755147277</c:v>
                </c:pt>
                <c:pt idx="32">
                  <c:v>18.47751275080493</c:v>
                </c:pt>
                <c:pt idx="33">
                  <c:v>18.684460893613949</c:v>
                </c:pt>
                <c:pt idx="34">
                  <c:v>18.893726855622425</c:v>
                </c:pt>
                <c:pt idx="35">
                  <c:v>19.105336596405397</c:v>
                </c:pt>
                <c:pt idx="36">
                  <c:v>19.31931636628514</c:v>
                </c:pt>
                <c:pt idx="37">
                  <c:v>19.535692709587536</c:v>
                </c:pt>
                <c:pt idx="38">
                  <c:v>19.75449246793492</c:v>
                </c:pt>
                <c:pt idx="39">
                  <c:v>19.975742783575793</c:v>
                </c:pt>
                <c:pt idx="40">
                  <c:v>20.199471102751843</c:v>
                </c:pt>
                <c:pt idx="41">
                  <c:v>20.425705179102668</c:v>
                </c:pt>
                <c:pt idx="42">
                  <c:v>20.654473077108619</c:v>
                </c:pt>
                <c:pt idx="43">
                  <c:v>20.885803175572239</c:v>
                </c:pt>
                <c:pt idx="44">
                  <c:v>21.11972417113865</c:v>
                </c:pt>
                <c:pt idx="45">
                  <c:v>21.356265081855405</c:v>
                </c:pt>
                <c:pt idx="46">
                  <c:v>21.595455250772186</c:v>
                </c:pt>
                <c:pt idx="47">
                  <c:v>21.837324349580836</c:v>
                </c:pt>
                <c:pt idx="48">
                  <c:v>22.081902382296143</c:v>
                </c:pt>
                <c:pt idx="49">
                  <c:v>22.329219688977862</c:v>
                </c:pt>
                <c:pt idx="50">
                  <c:v>22.579306949494416</c:v>
                </c:pt>
                <c:pt idx="51">
                  <c:v>22.832195187328757</c:v>
                </c:pt>
                <c:pt idx="52">
                  <c:v>23.087915773426843</c:v>
                </c:pt>
                <c:pt idx="53">
                  <c:v>23.346500430089225</c:v>
                </c:pt>
                <c:pt idx="54">
                  <c:v>23.607981234906227</c:v>
                </c:pt>
                <c:pt idx="55">
                  <c:v>23.726021141080754</c:v>
                </c:pt>
                <c:pt idx="56">
                  <c:v>23.844651246786153</c:v>
                </c:pt>
                <c:pt idx="57">
                  <c:v>23.963874503020083</c:v>
                </c:pt>
                <c:pt idx="58">
                  <c:v>24.083693875535182</c:v>
                </c:pt>
                <c:pt idx="59">
                  <c:v>24.204112344912854</c:v>
                </c:pt>
                <c:pt idx="60">
                  <c:v>24.325132906637418</c:v>
                </c:pt>
                <c:pt idx="61">
                  <c:v>24.446758571170601</c:v>
                </c:pt>
                <c:pt idx="62">
                  <c:v>24.568992364026453</c:v>
                </c:pt>
                <c:pt idx="63">
                  <c:v>24.691837325846581</c:v>
                </c:pt>
                <c:pt idx="64">
                  <c:v>24.815296512475811</c:v>
                </c:pt>
                <c:pt idx="65">
                  <c:v>24.939372995038187</c:v>
                </c:pt>
                <c:pt idx="66">
                  <c:v>25.064069860013376</c:v>
                </c:pt>
                <c:pt idx="67">
                  <c:v>25.189390209313441</c:v>
                </c:pt>
                <c:pt idx="68">
                  <c:v>25.315337160360006</c:v>
                </c:pt>
                <c:pt idx="69">
                  <c:v>25.441913846161803</c:v>
                </c:pt>
                <c:pt idx="70">
                  <c:v>25.56912341539261</c:v>
                </c:pt>
                <c:pt idx="71">
                  <c:v>25.696969032469571</c:v>
                </c:pt>
                <c:pt idx="72">
                  <c:v>25.825453877631915</c:v>
                </c:pt>
                <c:pt idx="73">
                  <c:v>25.954581147020072</c:v>
                </c:pt>
                <c:pt idx="74">
                  <c:v>25.894020457677026</c:v>
                </c:pt>
                <c:pt idx="75">
                  <c:v>25.833601076609114</c:v>
                </c:pt>
                <c:pt idx="76">
                  <c:v>25.773322674097027</c:v>
                </c:pt>
                <c:pt idx="77">
                  <c:v>25.713184921190802</c:v>
                </c:pt>
                <c:pt idx="78">
                  <c:v>25.653187489708024</c:v>
                </c:pt>
                <c:pt idx="79">
                  <c:v>25.593330052232041</c:v>
                </c:pt>
                <c:pt idx="80">
                  <c:v>25.533612282110166</c:v>
                </c:pt>
                <c:pt idx="81">
                  <c:v>25.47403385345191</c:v>
                </c:pt>
                <c:pt idx="82">
                  <c:v>25.414594441127189</c:v>
                </c:pt>
                <c:pt idx="83">
                  <c:v>25.355293720764561</c:v>
                </c:pt>
                <c:pt idx="84">
                  <c:v>25.296131368749442</c:v>
                </c:pt>
                <c:pt idx="85">
                  <c:v>25.237107062222361</c:v>
                </c:pt>
                <c:pt idx="86">
                  <c:v>25.178220479077176</c:v>
                </c:pt>
                <c:pt idx="87">
                  <c:v>25.119471297959329</c:v>
                </c:pt>
                <c:pt idx="88">
                  <c:v>25.06085919826409</c:v>
                </c:pt>
                <c:pt idx="89">
                  <c:v>25.00238386013481</c:v>
                </c:pt>
                <c:pt idx="90">
                  <c:v>24.944044964461163</c:v>
                </c:pt>
                <c:pt idx="91">
                  <c:v>24.885842192877423</c:v>
                </c:pt>
                <c:pt idx="92">
                  <c:v>24.827775227760711</c:v>
                </c:pt>
                <c:pt idx="93">
                  <c:v>24.769843752229271</c:v>
                </c:pt>
                <c:pt idx="94">
                  <c:v>24.712047450140737</c:v>
                </c:pt>
                <c:pt idx="95">
                  <c:v>24.654386006090409</c:v>
                </c:pt>
                <c:pt idx="96">
                  <c:v>24.596859105409532</c:v>
                </c:pt>
                <c:pt idx="97">
                  <c:v>24.539466434163579</c:v>
                </c:pt>
                <c:pt idx="98">
                  <c:v>24.48220767915053</c:v>
                </c:pt>
                <c:pt idx="99">
                  <c:v>24.425082527899178</c:v>
                </c:pt>
                <c:pt idx="100">
                  <c:v>24.368090668667413</c:v>
                </c:pt>
                <c:pt idx="101">
                  <c:v>24.311231790440523</c:v>
                </c:pt>
                <c:pt idx="102">
                  <c:v>24.254505582929497</c:v>
                </c:pt>
                <c:pt idx="103">
                  <c:v>24.197911736569328</c:v>
                </c:pt>
                <c:pt idx="104">
                  <c:v>24.141449942517333</c:v>
                </c:pt>
                <c:pt idx="105">
                  <c:v>24.085119892651459</c:v>
                </c:pt>
                <c:pt idx="106">
                  <c:v>24.028921279568607</c:v>
                </c:pt>
                <c:pt idx="107">
                  <c:v>23.972853796582946</c:v>
                </c:pt>
                <c:pt idx="108">
                  <c:v>23.916917137724255</c:v>
                </c:pt>
                <c:pt idx="109">
                  <c:v>23.861110997736233</c:v>
                </c:pt>
                <c:pt idx="110">
                  <c:v>23.80543507207485</c:v>
                </c:pt>
                <c:pt idx="111">
                  <c:v>23.749889056906678</c:v>
                </c:pt>
                <c:pt idx="112">
                  <c:v>23.69447264910723</c:v>
                </c:pt>
                <c:pt idx="113">
                  <c:v>23.639185546259313</c:v>
                </c:pt>
                <c:pt idx="114">
                  <c:v>23.584027446651376</c:v>
                </c:pt>
                <c:pt idx="115">
                  <c:v>23.528998049275856</c:v>
                </c:pt>
                <c:pt idx="116">
                  <c:v>23.474097053827546</c:v>
                </c:pt>
                <c:pt idx="117">
                  <c:v>23.419324160701947</c:v>
                </c:pt>
                <c:pt idx="118">
                  <c:v>23.364679070993645</c:v>
                </c:pt>
                <c:pt idx="119">
                  <c:v>23.31016148649466</c:v>
                </c:pt>
                <c:pt idx="120">
                  <c:v>23.255771109692841</c:v>
                </c:pt>
                <c:pt idx="121">
                  <c:v>23.201507643770224</c:v>
                </c:pt>
                <c:pt idx="122">
                  <c:v>23.147370792601428</c:v>
                </c:pt>
                <c:pt idx="123">
                  <c:v>23.093360260752025</c:v>
                </c:pt>
                <c:pt idx="124">
                  <c:v>23.039475753476939</c:v>
                </c:pt>
                <c:pt idx="125">
                  <c:v>22.985716976718827</c:v>
                </c:pt>
                <c:pt idx="126">
                  <c:v>22.932083637106484</c:v>
                </c:pt>
                <c:pt idx="127">
                  <c:v>22.878575441953235</c:v>
                </c:pt>
                <c:pt idx="128">
                  <c:v>22.825192099255343</c:v>
                </c:pt>
                <c:pt idx="129">
                  <c:v>22.771933317690415</c:v>
                </c:pt>
                <c:pt idx="130">
                  <c:v>22.718798806615805</c:v>
                </c:pt>
                <c:pt idx="131">
                  <c:v>22.665788276067037</c:v>
                </c:pt>
                <c:pt idx="132">
                  <c:v>22.612901436756214</c:v>
                </c:pt>
                <c:pt idx="133">
                  <c:v>22.560138000070449</c:v>
                </c:pt>
                <c:pt idx="134">
                  <c:v>22.507497678070287</c:v>
                </c:pt>
                <c:pt idx="135">
                  <c:v>22.454980183488125</c:v>
                </c:pt>
                <c:pt idx="136">
                  <c:v>22.402585229726654</c:v>
                </c:pt>
                <c:pt idx="137">
                  <c:v>22.350312530857291</c:v>
                </c:pt>
                <c:pt idx="138">
                  <c:v>22.298161801618626</c:v>
                </c:pt>
                <c:pt idx="139">
                  <c:v>22.246132757414848</c:v>
                </c:pt>
                <c:pt idx="140">
                  <c:v>22.194225114314214</c:v>
                </c:pt>
                <c:pt idx="141">
                  <c:v>22.142438589047483</c:v>
                </c:pt>
                <c:pt idx="142">
                  <c:v>22.090772899006375</c:v>
                </c:pt>
                <c:pt idx="143">
                  <c:v>22.039227762242028</c:v>
                </c:pt>
                <c:pt idx="144">
                  <c:v>21.987802897463464</c:v>
                </c:pt>
                <c:pt idx="145">
                  <c:v>21.936498024036048</c:v>
                </c:pt>
                <c:pt idx="146">
                  <c:v>21.885312861979966</c:v>
                </c:pt>
                <c:pt idx="147">
                  <c:v>21.834247131968681</c:v>
                </c:pt>
                <c:pt idx="148">
                  <c:v>21.783300555327422</c:v>
                </c:pt>
                <c:pt idx="149">
                  <c:v>21.732472854031659</c:v>
                </c:pt>
                <c:pt idx="150">
                  <c:v>21.681763750705585</c:v>
                </c:pt>
                <c:pt idx="151">
                  <c:v>21.631172968620607</c:v>
                </c:pt>
                <c:pt idx="152">
                  <c:v>21.580700231693825</c:v>
                </c:pt>
                <c:pt idx="153">
                  <c:v>21.530345264486542</c:v>
                </c:pt>
                <c:pt idx="154">
                  <c:v>21.480107792202741</c:v>
                </c:pt>
                <c:pt idx="155">
                  <c:v>21.429987540687602</c:v>
                </c:pt>
                <c:pt idx="156">
                  <c:v>21.379984236425997</c:v>
                </c:pt>
                <c:pt idx="157">
                  <c:v>21.330097606541003</c:v>
                </c:pt>
                <c:pt idx="158">
                  <c:v>21.280327378792407</c:v>
                </c:pt>
                <c:pt idx="159">
                  <c:v>21.230673281575225</c:v>
                </c:pt>
                <c:pt idx="160">
                  <c:v>21.181135043918218</c:v>
                </c:pt>
                <c:pt idx="161">
                  <c:v>21.13171239548241</c:v>
                </c:pt>
                <c:pt idx="162">
                  <c:v>21.08240506655962</c:v>
                </c:pt>
                <c:pt idx="163">
                  <c:v>21.03321278807098</c:v>
                </c:pt>
                <c:pt idx="164">
                  <c:v>20.984135291565483</c:v>
                </c:pt>
                <c:pt idx="165">
                  <c:v>20.935172309218498</c:v>
                </c:pt>
                <c:pt idx="166">
                  <c:v>20.886323573830321</c:v>
                </c:pt>
                <c:pt idx="167">
                  <c:v>20.837588818824717</c:v>
                </c:pt>
                <c:pt idx="168">
                  <c:v>20.788967778247461</c:v>
                </c:pt>
                <c:pt idx="169">
                  <c:v>20.740460186764885</c:v>
                </c:pt>
                <c:pt idx="170">
                  <c:v>20.692065779662435</c:v>
                </c:pt>
                <c:pt idx="171">
                  <c:v>20.643784292843225</c:v>
                </c:pt>
                <c:pt idx="172">
                  <c:v>20.595615462826594</c:v>
                </c:pt>
                <c:pt idx="173">
                  <c:v>20.547559026746665</c:v>
                </c:pt>
                <c:pt idx="174">
                  <c:v>20.499614722350923</c:v>
                </c:pt>
                <c:pt idx="175">
                  <c:v>20.451782287998771</c:v>
                </c:pt>
                <c:pt idx="176">
                  <c:v>20.40406146266011</c:v>
                </c:pt>
                <c:pt idx="177">
                  <c:v>20.356451985913903</c:v>
                </c:pt>
                <c:pt idx="178">
                  <c:v>20.308953597946772</c:v>
                </c:pt>
                <c:pt idx="179">
                  <c:v>20.261566039551564</c:v>
                </c:pt>
                <c:pt idx="180">
                  <c:v>20.214289052125945</c:v>
                </c:pt>
                <c:pt idx="181">
                  <c:v>20.167122377670985</c:v>
                </c:pt>
                <c:pt idx="182">
                  <c:v>20.120065758789753</c:v>
                </c:pt>
                <c:pt idx="183">
                  <c:v>20.073118938685912</c:v>
                </c:pt>
                <c:pt idx="184">
                  <c:v>20.026281661162312</c:v>
                </c:pt>
                <c:pt idx="185">
                  <c:v>19.979553670619602</c:v>
                </c:pt>
                <c:pt idx="186">
                  <c:v>19.932934712054823</c:v>
                </c:pt>
                <c:pt idx="187">
                  <c:v>19.88642453106003</c:v>
                </c:pt>
                <c:pt idx="188">
                  <c:v>19.840022873820889</c:v>
                </c:pt>
                <c:pt idx="189">
                  <c:v>19.793729487115307</c:v>
                </c:pt>
                <c:pt idx="190">
                  <c:v>19.747544118312039</c:v>
                </c:pt>
                <c:pt idx="191">
                  <c:v>19.701466515369312</c:v>
                </c:pt>
                <c:pt idx="192">
                  <c:v>19.655496426833452</c:v>
                </c:pt>
                <c:pt idx="193">
                  <c:v>19.609633601837508</c:v>
                </c:pt>
                <c:pt idx="194">
                  <c:v>19.563877790099887</c:v>
                </c:pt>
                <c:pt idx="195">
                  <c:v>19.518228741922989</c:v>
                </c:pt>
                <c:pt idx="196">
                  <c:v>19.472686208191835</c:v>
                </c:pt>
                <c:pt idx="197">
                  <c:v>19.427249940372722</c:v>
                </c:pt>
                <c:pt idx="198">
                  <c:v>19.381919690511854</c:v>
                </c:pt>
                <c:pt idx="199">
                  <c:v>19.336695211233994</c:v>
                </c:pt>
                <c:pt idx="200">
                  <c:v>19.291576255741116</c:v>
                </c:pt>
                <c:pt idx="201">
                  <c:v>19.246562577811055</c:v>
                </c:pt>
                <c:pt idx="202">
                  <c:v>19.201653931796162</c:v>
                </c:pt>
                <c:pt idx="203">
                  <c:v>19.156850072621971</c:v>
                </c:pt>
                <c:pt idx="204">
                  <c:v>19.112150755785855</c:v>
                </c:pt>
                <c:pt idx="205">
                  <c:v>19.06755573735569</c:v>
                </c:pt>
                <c:pt idx="206">
                  <c:v>19.023064773968528</c:v>
                </c:pt>
                <c:pt idx="207">
                  <c:v>18.97867762282927</c:v>
                </c:pt>
                <c:pt idx="208">
                  <c:v>18.934394041709336</c:v>
                </c:pt>
                <c:pt idx="209">
                  <c:v>18.890213788945349</c:v>
                </c:pt>
                <c:pt idx="210">
                  <c:v>18.846136623437811</c:v>
                </c:pt>
                <c:pt idx="211">
                  <c:v>18.802162304649791</c:v>
                </c:pt>
                <c:pt idx="212">
                  <c:v>18.758290592605608</c:v>
                </c:pt>
                <c:pt idx="213">
                  <c:v>18.714521247889529</c:v>
                </c:pt>
                <c:pt idx="214">
                  <c:v>18.670854031644453</c:v>
                </c:pt>
                <c:pt idx="215">
                  <c:v>18.627288705570617</c:v>
                </c:pt>
                <c:pt idx="216">
                  <c:v>18.583825031924285</c:v>
                </c:pt>
                <c:pt idx="217">
                  <c:v>18.540462773516463</c:v>
                </c:pt>
                <c:pt idx="218">
                  <c:v>18.497201693711592</c:v>
                </c:pt>
                <c:pt idx="219">
                  <c:v>18.454041556426265</c:v>
                </c:pt>
                <c:pt idx="220">
                  <c:v>18.410982126127937</c:v>
                </c:pt>
                <c:pt idx="221">
                  <c:v>18.368023167833638</c:v>
                </c:pt>
                <c:pt idx="222">
                  <c:v>18.325164447108694</c:v>
                </c:pt>
                <c:pt idx="223">
                  <c:v>18.282405730065442</c:v>
                </c:pt>
                <c:pt idx="224">
                  <c:v>18.239746783361955</c:v>
                </c:pt>
                <c:pt idx="225">
                  <c:v>18.197187374200777</c:v>
                </c:pt>
                <c:pt idx="226">
                  <c:v>18.154727270327641</c:v>
                </c:pt>
                <c:pt idx="227">
                  <c:v>18.112366240030209</c:v>
                </c:pt>
                <c:pt idx="228">
                  <c:v>18.070104052136806</c:v>
                </c:pt>
                <c:pt idx="229">
                  <c:v>18.027940476015154</c:v>
                </c:pt>
                <c:pt idx="230">
                  <c:v>17.985875281571118</c:v>
                </c:pt>
                <c:pt idx="231">
                  <c:v>17.943908239247452</c:v>
                </c:pt>
                <c:pt idx="232">
                  <c:v>17.902039120022543</c:v>
                </c:pt>
                <c:pt idx="233">
                  <c:v>17.860267695409156</c:v>
                </c:pt>
                <c:pt idx="234">
                  <c:v>17.818593737453202</c:v>
                </c:pt>
                <c:pt idx="235">
                  <c:v>17.777017018732479</c:v>
                </c:pt>
                <c:pt idx="236">
                  <c:v>17.735537312355437</c:v>
                </c:pt>
                <c:pt idx="237">
                  <c:v>17.694154391959941</c:v>
                </c:pt>
                <c:pt idx="238">
                  <c:v>17.652868031712035</c:v>
                </c:pt>
                <c:pt idx="239">
                  <c:v>17.611678006304707</c:v>
                </c:pt>
                <c:pt idx="240">
                  <c:v>17.570584090956665</c:v>
                </c:pt>
                <c:pt idx="241">
                  <c:v>17.529586061411099</c:v>
                </c:pt>
                <c:pt idx="242">
                  <c:v>17.488683693934473</c:v>
                </c:pt>
                <c:pt idx="243">
                  <c:v>17.447876765315293</c:v>
                </c:pt>
                <c:pt idx="244">
                  <c:v>17.40716505286289</c:v>
                </c:pt>
                <c:pt idx="245">
                  <c:v>17.366548334406211</c:v>
                </c:pt>
                <c:pt idx="246">
                  <c:v>17.326026388292597</c:v>
                </c:pt>
                <c:pt idx="247">
                  <c:v>17.285598993386582</c:v>
                </c:pt>
                <c:pt idx="248">
                  <c:v>17.24526592906868</c:v>
                </c:pt>
                <c:pt idx="249">
                  <c:v>17.205026975234187</c:v>
                </c:pt>
                <c:pt idx="250">
                  <c:v>17.164881912291975</c:v>
                </c:pt>
                <c:pt idx="251">
                  <c:v>17.124830521163293</c:v>
                </c:pt>
                <c:pt idx="252">
                  <c:v>17.084872583280578</c:v>
                </c:pt>
                <c:pt idx="253">
                  <c:v>17.045007880586258</c:v>
                </c:pt>
                <c:pt idx="254">
                  <c:v>17.005236195531559</c:v>
                </c:pt>
                <c:pt idx="255">
                  <c:v>16.965557311075319</c:v>
                </c:pt>
                <c:pt idx="256">
                  <c:v>16.925971010682812</c:v>
                </c:pt>
                <c:pt idx="257">
                  <c:v>16.886477078324553</c:v>
                </c:pt>
                <c:pt idx="258">
                  <c:v>16.847075298475129</c:v>
                </c:pt>
                <c:pt idx="259">
                  <c:v>16.807765456112023</c:v>
                </c:pt>
                <c:pt idx="260">
                  <c:v>16.768547336714427</c:v>
                </c:pt>
                <c:pt idx="261">
                  <c:v>16.729420726262095</c:v>
                </c:pt>
                <c:pt idx="262">
                  <c:v>16.69038541123415</c:v>
                </c:pt>
                <c:pt idx="263">
                  <c:v>16.651441178607936</c:v>
                </c:pt>
                <c:pt idx="264">
                  <c:v>16.61258781585785</c:v>
                </c:pt>
                <c:pt idx="265">
                  <c:v>16.573825110954182</c:v>
                </c:pt>
                <c:pt idx="266">
                  <c:v>16.535152852361957</c:v>
                </c:pt>
                <c:pt idx="267">
                  <c:v>16.496570829039779</c:v>
                </c:pt>
                <c:pt idx="268">
                  <c:v>16.458078830438687</c:v>
                </c:pt>
                <c:pt idx="269">
                  <c:v>16.419676646500996</c:v>
                </c:pt>
                <c:pt idx="270">
                  <c:v>16.38136406765916</c:v>
                </c:pt>
                <c:pt idx="271">
                  <c:v>16.343140884834622</c:v>
                </c:pt>
                <c:pt idx="272">
                  <c:v>16.305006889436676</c:v>
                </c:pt>
                <c:pt idx="273">
                  <c:v>16.266961873361325</c:v>
                </c:pt>
                <c:pt idx="274">
                  <c:v>16.229005628990148</c:v>
                </c:pt>
                <c:pt idx="275">
                  <c:v>16.191137949189173</c:v>
                </c:pt>
                <c:pt idx="276">
                  <c:v>16.153358627307732</c:v>
                </c:pt>
                <c:pt idx="277">
                  <c:v>16.115667457177349</c:v>
                </c:pt>
                <c:pt idx="278">
                  <c:v>16.078064233110602</c:v>
                </c:pt>
                <c:pt idx="279">
                  <c:v>16.040548749900012</c:v>
                </c:pt>
                <c:pt idx="280">
                  <c:v>16.003120802816913</c:v>
                </c:pt>
                <c:pt idx="281">
                  <c:v>15.96578018761034</c:v>
                </c:pt>
                <c:pt idx="282">
                  <c:v>15.928526700505916</c:v>
                </c:pt>
                <c:pt idx="283">
                  <c:v>15.891360138204735</c:v>
                </c:pt>
                <c:pt idx="284">
                  <c:v>15.854280297882259</c:v>
                </c:pt>
                <c:pt idx="285">
                  <c:v>15.8172869771872</c:v>
                </c:pt>
                <c:pt idx="286">
                  <c:v>15.78037997424043</c:v>
                </c:pt>
                <c:pt idx="287">
                  <c:v>15.743559087633869</c:v>
                </c:pt>
                <c:pt idx="288">
                  <c:v>15.706824116429392</c:v>
                </c:pt>
                <c:pt idx="289">
                  <c:v>15.670174860157724</c:v>
                </c:pt>
                <c:pt idx="290">
                  <c:v>15.633611118817356</c:v>
                </c:pt>
                <c:pt idx="291">
                  <c:v>15.597132692873449</c:v>
                </c:pt>
                <c:pt idx="292">
                  <c:v>15.560739383256745</c:v>
                </c:pt>
                <c:pt idx="293">
                  <c:v>15.524430991362481</c:v>
                </c:pt>
                <c:pt idx="294">
                  <c:v>15.488207319049302</c:v>
                </c:pt>
                <c:pt idx="295">
                  <c:v>15.452068168638187</c:v>
                </c:pt>
                <c:pt idx="296">
                  <c:v>15.416013342911365</c:v>
                </c:pt>
                <c:pt idx="297">
                  <c:v>15.380042645111239</c:v>
                </c:pt>
                <c:pt idx="298">
                  <c:v>15.344155878939313</c:v>
                </c:pt>
                <c:pt idx="299">
                  <c:v>15.308352848555122</c:v>
                </c:pt>
              </c:numCache>
            </c:numRef>
          </c:val>
          <c:smooth val="1"/>
          <c:extLst>
            <c:ext xmlns:c16="http://schemas.microsoft.com/office/drawing/2014/chart" uri="{C3380CC4-5D6E-409C-BE32-E72D297353CC}">
              <c16:uniqueId val="{00000000-5085-43EB-81E6-7B0ED2734B09}"/>
            </c:ext>
          </c:extLst>
        </c:ser>
        <c:dLbls>
          <c:showLegendKey val="0"/>
          <c:showVal val="0"/>
          <c:showCatName val="0"/>
          <c:showSerName val="0"/>
          <c:showPercent val="0"/>
          <c:showBubbleSize val="0"/>
        </c:dLbls>
        <c:smooth val="0"/>
        <c:axId val="1967293616"/>
        <c:axId val="417339760"/>
      </c:lineChart>
      <c:catAx>
        <c:axId val="19672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339760"/>
        <c:crosses val="autoZero"/>
        <c:auto val="1"/>
        <c:lblAlgn val="ctr"/>
        <c:lblOffset val="100"/>
        <c:noMultiLvlLbl val="0"/>
      </c:catAx>
      <c:valAx>
        <c:axId val="417339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72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6</xdr:col>
      <xdr:colOff>409575</xdr:colOff>
      <xdr:row>3</xdr:row>
      <xdr:rowOff>72390</xdr:rowOff>
    </xdr:to>
    <xdr:pic>
      <xdr:nvPicPr>
        <xdr:cNvPr id="554137" name="Picture 1" descr="MF_logo_rgb.jpg">
          <a:extLst>
            <a:ext uri="{FF2B5EF4-FFF2-40B4-BE49-F238E27FC236}">
              <a16:creationId xmlns:a16="http://schemas.microsoft.com/office/drawing/2014/main" id="{00000000-0008-0000-0000-00009974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95250"/>
          <a:ext cx="1885950" cy="46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xdr:colOff>
      <xdr:row>151</xdr:row>
      <xdr:rowOff>53340</xdr:rowOff>
    </xdr:from>
    <xdr:to>
      <xdr:col>2</xdr:col>
      <xdr:colOff>45720</xdr:colOff>
      <xdr:row>153</xdr:row>
      <xdr:rowOff>22860</xdr:rowOff>
    </xdr:to>
    <xdr:pic>
      <xdr:nvPicPr>
        <xdr:cNvPr id="554138" name="Picture 2">
          <a:extLst>
            <a:ext uri="{FF2B5EF4-FFF2-40B4-BE49-F238E27FC236}">
              <a16:creationId xmlns:a16="http://schemas.microsoft.com/office/drawing/2014/main" id="{00000000-0008-0000-0000-00009A7408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26578560"/>
          <a:ext cx="13411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47625</xdr:colOff>
      <xdr:row>3</xdr:row>
      <xdr:rowOff>338382</xdr:rowOff>
    </xdr:to>
    <xdr:pic>
      <xdr:nvPicPr>
        <xdr:cNvPr id="4" name="Picture 3">
          <a:extLst>
            <a:ext uri="{FF2B5EF4-FFF2-40B4-BE49-F238E27FC236}">
              <a16:creationId xmlns:a16="http://schemas.microsoft.com/office/drawing/2014/main" id="{832C330E-A401-4204-99B7-C89A3E23D7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04975" cy="82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412750</xdr:colOff>
      <xdr:row>0</xdr:row>
      <xdr:rowOff>58420</xdr:rowOff>
    </xdr:from>
    <xdr:to>
      <xdr:col>16</xdr:col>
      <xdr:colOff>521910</xdr:colOff>
      <xdr:row>2</xdr:row>
      <xdr:rowOff>88900</xdr:rowOff>
    </xdr:to>
    <xdr:pic>
      <xdr:nvPicPr>
        <xdr:cNvPr id="4" name="Picture 1" descr="MF_logo_rgb.jpg">
          <a:extLst>
            <a:ext uri="{FF2B5EF4-FFF2-40B4-BE49-F238E27FC236}">
              <a16:creationId xmlns:a16="http://schemas.microsoft.com/office/drawing/2014/main" id="{B9AC798E-C423-4415-BB3D-BA7F8EC119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6475" y="58420"/>
          <a:ext cx="2309435" cy="573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285750</xdr:colOff>
      <xdr:row>0</xdr:row>
      <xdr:rowOff>0</xdr:rowOff>
    </xdr:from>
    <xdr:to>
      <xdr:col>13</xdr:col>
      <xdr:colOff>558928</xdr:colOff>
      <xdr:row>2</xdr:row>
      <xdr:rowOff>285750</xdr:rowOff>
    </xdr:to>
    <xdr:pic>
      <xdr:nvPicPr>
        <xdr:cNvPr id="5" name="Picture 4">
          <a:extLst>
            <a:ext uri="{FF2B5EF4-FFF2-40B4-BE49-F238E27FC236}">
              <a16:creationId xmlns:a16="http://schemas.microsoft.com/office/drawing/2014/main" id="{2B3AE2C9-FB91-4515-AF03-930229859F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0"/>
          <a:ext cx="1740028"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202406</xdr:colOff>
      <xdr:row>0</xdr:row>
      <xdr:rowOff>95251</xdr:rowOff>
    </xdr:from>
    <xdr:to>
      <xdr:col>13</xdr:col>
      <xdr:colOff>418034</xdr:colOff>
      <xdr:row>3</xdr:row>
      <xdr:rowOff>152856</xdr:rowOff>
    </xdr:to>
    <xdr:pic>
      <xdr:nvPicPr>
        <xdr:cNvPr id="2" name="Picture 1" descr="MF_logo_rgb.jpg">
          <a:extLst>
            <a:ext uri="{FF2B5EF4-FFF2-40B4-BE49-F238E27FC236}">
              <a16:creationId xmlns:a16="http://schemas.microsoft.com/office/drawing/2014/main" id="{97985725-4BE7-466F-AC8C-602D703D98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4631" y="95251"/>
          <a:ext cx="2577828" cy="54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190500</xdr:colOff>
      <xdr:row>0</xdr:row>
      <xdr:rowOff>0</xdr:rowOff>
    </xdr:from>
    <xdr:to>
      <xdr:col>17</xdr:col>
      <xdr:colOff>847725</xdr:colOff>
      <xdr:row>4</xdr:row>
      <xdr:rowOff>166404</xdr:rowOff>
    </xdr:to>
    <xdr:pic>
      <xdr:nvPicPr>
        <xdr:cNvPr id="3" name="Picture 2">
          <a:extLst>
            <a:ext uri="{FF2B5EF4-FFF2-40B4-BE49-F238E27FC236}">
              <a16:creationId xmlns:a16="http://schemas.microsoft.com/office/drawing/2014/main" id="{63FD1C84-C97D-47EA-A35E-1998DBBD2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15475" y="0"/>
          <a:ext cx="1590675" cy="92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472440</xdr:colOff>
      <xdr:row>38</xdr:row>
      <xdr:rowOff>144780</xdr:rowOff>
    </xdr:from>
    <xdr:to>
      <xdr:col>10</xdr:col>
      <xdr:colOff>123825</xdr:colOff>
      <xdr:row>59</xdr:row>
      <xdr:rowOff>76200</xdr:rowOff>
    </xdr:to>
    <xdr:graphicFrame macro="">
      <xdr:nvGraphicFramePr>
        <xdr:cNvPr id="2414" name="Chart 1">
          <a:extLst>
            <a:ext uri="{FF2B5EF4-FFF2-40B4-BE49-F238E27FC236}">
              <a16:creationId xmlns:a16="http://schemas.microsoft.com/office/drawing/2014/main" id="{00000000-0008-0000-0100-00006E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449580</xdr:colOff>
      <xdr:row>66</xdr:row>
      <xdr:rowOff>45720</xdr:rowOff>
    </xdr:from>
    <xdr:to>
      <xdr:col>10</xdr:col>
      <xdr:colOff>219075</xdr:colOff>
      <xdr:row>87</xdr:row>
      <xdr:rowOff>38100</xdr:rowOff>
    </xdr:to>
    <xdr:graphicFrame macro="">
      <xdr:nvGraphicFramePr>
        <xdr:cNvPr id="2415" name="Chart 2">
          <a:extLst>
            <a:ext uri="{FF2B5EF4-FFF2-40B4-BE49-F238E27FC236}">
              <a16:creationId xmlns:a16="http://schemas.microsoft.com/office/drawing/2014/main" id="{00000000-0008-0000-0100-00006F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548640</xdr:colOff>
      <xdr:row>0</xdr:row>
      <xdr:rowOff>83820</xdr:rowOff>
    </xdr:from>
    <xdr:to>
      <xdr:col>14</xdr:col>
      <xdr:colOff>102870</xdr:colOff>
      <xdr:row>2</xdr:row>
      <xdr:rowOff>116205</xdr:rowOff>
    </xdr:to>
    <xdr:pic>
      <xdr:nvPicPr>
        <xdr:cNvPr id="2416" name="Picture 1" descr="MF_logo_rgb.jpg">
          <a:extLst>
            <a:ext uri="{FF2B5EF4-FFF2-40B4-BE49-F238E27FC236}">
              <a16:creationId xmlns:a16="http://schemas.microsoft.com/office/drawing/2014/main" id="{00000000-0008-0000-0100-00007009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10500" y="83820"/>
          <a:ext cx="235458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16</xdr:row>
      <xdr:rowOff>152400</xdr:rowOff>
    </xdr:from>
    <xdr:to>
      <xdr:col>14</xdr:col>
      <xdr:colOff>400050</xdr:colOff>
      <xdr:row>33</xdr:row>
      <xdr:rowOff>83820</xdr:rowOff>
    </xdr:to>
    <xdr:graphicFrame macro="">
      <xdr:nvGraphicFramePr>
        <xdr:cNvPr id="7" name="Chart 1">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209550</xdr:colOff>
      <xdr:row>0</xdr:row>
      <xdr:rowOff>0</xdr:rowOff>
    </xdr:from>
    <xdr:to>
      <xdr:col>10</xdr:col>
      <xdr:colOff>466725</xdr:colOff>
      <xdr:row>3</xdr:row>
      <xdr:rowOff>123106</xdr:rowOff>
    </xdr:to>
    <xdr:pic>
      <xdr:nvPicPr>
        <xdr:cNvPr id="6" name="Picture 5">
          <a:extLst>
            <a:ext uri="{FF2B5EF4-FFF2-40B4-BE49-F238E27FC236}">
              <a16:creationId xmlns:a16="http://schemas.microsoft.com/office/drawing/2014/main" id="{D2235D2D-83FC-4303-BF1F-7B7A76E987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81775" y="0"/>
          <a:ext cx="1476375" cy="713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114300</xdr:colOff>
      <xdr:row>0</xdr:row>
      <xdr:rowOff>114301</xdr:rowOff>
    </xdr:from>
    <xdr:to>
      <xdr:col>14</xdr:col>
      <xdr:colOff>76200</xdr:colOff>
      <xdr:row>2</xdr:row>
      <xdr:rowOff>99928</xdr:rowOff>
    </xdr:to>
    <xdr:pic>
      <xdr:nvPicPr>
        <xdr:cNvPr id="2" name="Picture 1" descr="MF_logo_rgb.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2300" y="114301"/>
          <a:ext cx="1819275" cy="385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228601</xdr:colOff>
      <xdr:row>0</xdr:row>
      <xdr:rowOff>1</xdr:rowOff>
    </xdr:from>
    <xdr:to>
      <xdr:col>15</xdr:col>
      <xdr:colOff>1295400</xdr:colOff>
      <xdr:row>3</xdr:row>
      <xdr:rowOff>173436</xdr:rowOff>
    </xdr:to>
    <xdr:pic>
      <xdr:nvPicPr>
        <xdr:cNvPr id="3" name="Picture 2">
          <a:extLst>
            <a:ext uri="{FF2B5EF4-FFF2-40B4-BE49-F238E27FC236}">
              <a16:creationId xmlns:a16="http://schemas.microsoft.com/office/drawing/2014/main" id="{29FCD057-EADE-496C-8655-1C25BF5CC9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6" y="1"/>
          <a:ext cx="1600199" cy="773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171449</xdr:colOff>
      <xdr:row>8</xdr:row>
      <xdr:rowOff>28575</xdr:rowOff>
    </xdr:from>
    <xdr:to>
      <xdr:col>23</xdr:col>
      <xdr:colOff>247650</xdr:colOff>
      <xdr:row>23</xdr:row>
      <xdr:rowOff>0</xdr:rowOff>
    </xdr:to>
    <xdr:graphicFrame macro="">
      <xdr:nvGraphicFramePr>
        <xdr:cNvPr id="2" name="Chart 1">
          <a:extLst>
            <a:ext uri="{FF2B5EF4-FFF2-40B4-BE49-F238E27FC236}">
              <a16:creationId xmlns:a16="http://schemas.microsoft.com/office/drawing/2014/main" id="{9E60C553-8942-47E7-954B-8628B8BE4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412750</xdr:colOff>
      <xdr:row>0</xdr:row>
      <xdr:rowOff>58420</xdr:rowOff>
    </xdr:from>
    <xdr:to>
      <xdr:col>16</xdr:col>
      <xdr:colOff>623510</xdr:colOff>
      <xdr:row>2</xdr:row>
      <xdr:rowOff>88900</xdr:rowOff>
    </xdr:to>
    <xdr:pic>
      <xdr:nvPicPr>
        <xdr:cNvPr id="1425" name="Picture 1" descr="MF_logo_rgb.jpg">
          <a:extLst>
            <a:ext uri="{FF2B5EF4-FFF2-40B4-BE49-F238E27FC236}">
              <a16:creationId xmlns:a16="http://schemas.microsoft.com/office/drawing/2014/main" id="{00000000-0008-0000-0300-000091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5417" y="58420"/>
          <a:ext cx="2306260" cy="580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285750</xdr:colOff>
      <xdr:row>0</xdr:row>
      <xdr:rowOff>0</xdr:rowOff>
    </xdr:from>
    <xdr:to>
      <xdr:col>13</xdr:col>
      <xdr:colOff>626662</xdr:colOff>
      <xdr:row>2</xdr:row>
      <xdr:rowOff>285750</xdr:rowOff>
    </xdr:to>
    <xdr:pic>
      <xdr:nvPicPr>
        <xdr:cNvPr id="3" name="Picture 2">
          <a:extLst>
            <a:ext uri="{FF2B5EF4-FFF2-40B4-BE49-F238E27FC236}">
              <a16:creationId xmlns:a16="http://schemas.microsoft.com/office/drawing/2014/main" id="{89AA7196-E7AC-4758-AD8E-BF5CF4C0F5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5083" y="0"/>
          <a:ext cx="1737912" cy="836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202406</xdr:colOff>
      <xdr:row>0</xdr:row>
      <xdr:rowOff>95251</xdr:rowOff>
    </xdr:from>
    <xdr:to>
      <xdr:col>13</xdr:col>
      <xdr:colOff>418034</xdr:colOff>
      <xdr:row>3</xdr:row>
      <xdr:rowOff>38556</xdr:rowOff>
    </xdr:to>
    <xdr:pic>
      <xdr:nvPicPr>
        <xdr:cNvPr id="2" name="Picture 1" descr="MF_logo_rgb.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4594" y="95251"/>
          <a:ext cx="2596878" cy="55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190500</xdr:colOff>
      <xdr:row>0</xdr:row>
      <xdr:rowOff>0</xdr:rowOff>
    </xdr:from>
    <xdr:to>
      <xdr:col>17</xdr:col>
      <xdr:colOff>1309687</xdr:colOff>
      <xdr:row>5</xdr:row>
      <xdr:rowOff>35980</xdr:rowOff>
    </xdr:to>
    <xdr:pic>
      <xdr:nvPicPr>
        <xdr:cNvPr id="3" name="Picture 2">
          <a:extLst>
            <a:ext uri="{FF2B5EF4-FFF2-40B4-BE49-F238E27FC236}">
              <a16:creationId xmlns:a16="http://schemas.microsoft.com/office/drawing/2014/main" id="{6EA80B90-39BC-469E-A155-4FC7435EE1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1594" y="0"/>
          <a:ext cx="2047875" cy="1012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1285875</xdr:colOff>
      <xdr:row>0</xdr:row>
      <xdr:rowOff>104776</xdr:rowOff>
    </xdr:from>
    <xdr:to>
      <xdr:col>4</xdr:col>
      <xdr:colOff>730410</xdr:colOff>
      <xdr:row>2</xdr:row>
      <xdr:rowOff>85725</xdr:rowOff>
    </xdr:to>
    <xdr:pic>
      <xdr:nvPicPr>
        <xdr:cNvPr id="2" name="Picture 1" descr="MF_logo_rgb.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5" y="104776"/>
          <a:ext cx="1797210"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0</xdr:row>
      <xdr:rowOff>0</xdr:rowOff>
    </xdr:from>
    <xdr:to>
      <xdr:col>2</xdr:col>
      <xdr:colOff>1228725</xdr:colOff>
      <xdr:row>3</xdr:row>
      <xdr:rowOff>150414</xdr:rowOff>
    </xdr:to>
    <xdr:pic>
      <xdr:nvPicPr>
        <xdr:cNvPr id="3" name="Picture 2">
          <a:extLst>
            <a:ext uri="{FF2B5EF4-FFF2-40B4-BE49-F238E27FC236}">
              <a16:creationId xmlns:a16="http://schemas.microsoft.com/office/drawing/2014/main" id="{E9360FDE-0E86-4787-AAA3-18B1B6BFD3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0"/>
          <a:ext cx="1552575" cy="75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647700</xdr:colOff>
      <xdr:row>0</xdr:row>
      <xdr:rowOff>171451</xdr:rowOff>
    </xdr:from>
    <xdr:to>
      <xdr:col>16</xdr:col>
      <xdr:colOff>634728</xdr:colOff>
      <xdr:row>3</xdr:row>
      <xdr:rowOff>118738</xdr:rowOff>
    </xdr:to>
    <xdr:pic>
      <xdr:nvPicPr>
        <xdr:cNvPr id="2" name="Picture 1" descr="MF_logo_rgb.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39575" y="171451"/>
          <a:ext cx="2492103" cy="528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781051</xdr:colOff>
      <xdr:row>0</xdr:row>
      <xdr:rowOff>28575</xdr:rowOff>
    </xdr:from>
    <xdr:to>
      <xdr:col>3</xdr:col>
      <xdr:colOff>542925</xdr:colOff>
      <xdr:row>4</xdr:row>
      <xdr:rowOff>147248</xdr:rowOff>
    </xdr:to>
    <xdr:pic>
      <xdr:nvPicPr>
        <xdr:cNvPr id="3" name="Picture 2">
          <a:extLst>
            <a:ext uri="{FF2B5EF4-FFF2-40B4-BE49-F238E27FC236}">
              <a16:creationId xmlns:a16="http://schemas.microsoft.com/office/drawing/2014/main" id="{04230B54-1400-4A31-8C91-51962F2140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9276" y="28575"/>
          <a:ext cx="1743074" cy="842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114300</xdr:colOff>
      <xdr:row>0</xdr:row>
      <xdr:rowOff>114301</xdr:rowOff>
    </xdr:from>
    <xdr:to>
      <xdr:col>13</xdr:col>
      <xdr:colOff>542925</xdr:colOff>
      <xdr:row>3</xdr:row>
      <xdr:rowOff>14203</xdr:rowOff>
    </xdr:to>
    <xdr:pic>
      <xdr:nvPicPr>
        <xdr:cNvPr id="2" name="Picture 1" descr="MF_logo_rgb.jpg">
          <a:extLst>
            <a:ext uri="{FF2B5EF4-FFF2-40B4-BE49-F238E27FC236}">
              <a16:creationId xmlns:a16="http://schemas.microsoft.com/office/drawing/2014/main" id="{681B0122-D989-46CE-B794-5174146C4B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2300" y="114301"/>
          <a:ext cx="1819275" cy="385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228601</xdr:colOff>
      <xdr:row>0</xdr:row>
      <xdr:rowOff>1</xdr:rowOff>
    </xdr:from>
    <xdr:to>
      <xdr:col>15</xdr:col>
      <xdr:colOff>1295400</xdr:colOff>
      <xdr:row>4</xdr:row>
      <xdr:rowOff>125811</xdr:rowOff>
    </xdr:to>
    <xdr:pic>
      <xdr:nvPicPr>
        <xdr:cNvPr id="3" name="Picture 2">
          <a:extLst>
            <a:ext uri="{FF2B5EF4-FFF2-40B4-BE49-F238E27FC236}">
              <a16:creationId xmlns:a16="http://schemas.microsoft.com/office/drawing/2014/main" id="{947CED2C-7816-4F4F-A14F-DA2C87C0E7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6" y="1"/>
          <a:ext cx="1600199" cy="773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sat-my.sharepoint.com/Users/Lloyd/OneDrive%20-%20ACS%20Accounting%20Trust/Business%20Plans/Steenbokvlakte/Steenbokvlakte%20Numb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heetName val="PreOp"/>
      <sheetName val="Loan"/>
      <sheetName val="Return"/>
      <sheetName val="OPCO"/>
      <sheetName val="Input"/>
      <sheetName val="Cow Flow"/>
      <sheetName val="Milk Flow"/>
      <sheetName val="Fodder Flow"/>
      <sheetName val="Stock Trading"/>
      <sheetName val="Pastures"/>
      <sheetName val="Weather"/>
      <sheetName val="IS"/>
      <sheetName val="BS"/>
      <sheetName val="CF"/>
    </sheetNames>
    <sheetDataSet>
      <sheetData sheetId="0"/>
      <sheetData sheetId="1"/>
      <sheetData sheetId="2"/>
      <sheetData sheetId="3"/>
      <sheetData sheetId="4"/>
      <sheetData sheetId="5"/>
      <sheetData sheetId="6"/>
      <sheetData sheetId="7">
        <row r="3">
          <cell r="B3">
            <v>1</v>
          </cell>
          <cell r="C3">
            <v>2</v>
          </cell>
          <cell r="D3">
            <v>3</v>
          </cell>
          <cell r="E3">
            <v>4</v>
          </cell>
          <cell r="F3">
            <v>5</v>
          </cell>
          <cell r="G3">
            <v>6</v>
          </cell>
          <cell r="H3">
            <v>7</v>
          </cell>
          <cell r="I3">
            <v>8</v>
          </cell>
          <cell r="J3">
            <v>9</v>
          </cell>
          <cell r="K3">
            <v>10</v>
          </cell>
          <cell r="L3">
            <v>11</v>
          </cell>
          <cell r="M3">
            <v>12</v>
          </cell>
          <cell r="N3">
            <v>13</v>
          </cell>
          <cell r="O3">
            <v>14</v>
          </cell>
          <cell r="P3">
            <v>15</v>
          </cell>
          <cell r="Q3">
            <v>16</v>
          </cell>
          <cell r="R3">
            <v>17</v>
          </cell>
          <cell r="S3">
            <v>18</v>
          </cell>
          <cell r="T3">
            <v>19</v>
          </cell>
          <cell r="U3">
            <v>20</v>
          </cell>
          <cell r="V3">
            <v>21</v>
          </cell>
          <cell r="W3">
            <v>22</v>
          </cell>
          <cell r="X3">
            <v>23</v>
          </cell>
          <cell r="Y3">
            <v>24</v>
          </cell>
          <cell r="Z3">
            <v>25</v>
          </cell>
          <cell r="AA3">
            <v>26</v>
          </cell>
          <cell r="AB3">
            <v>27</v>
          </cell>
          <cell r="AC3">
            <v>28</v>
          </cell>
          <cell r="AD3">
            <v>29</v>
          </cell>
          <cell r="AE3">
            <v>30</v>
          </cell>
          <cell r="AF3">
            <v>31</v>
          </cell>
          <cell r="AG3">
            <v>32</v>
          </cell>
          <cell r="AH3">
            <v>33</v>
          </cell>
          <cell r="AI3">
            <v>34</v>
          </cell>
          <cell r="AJ3">
            <v>35</v>
          </cell>
          <cell r="AK3">
            <v>36</v>
          </cell>
          <cell r="AL3">
            <v>37</v>
          </cell>
          <cell r="AM3">
            <v>38</v>
          </cell>
          <cell r="AN3">
            <v>39</v>
          </cell>
          <cell r="AO3">
            <v>40</v>
          </cell>
          <cell r="AP3">
            <v>41</v>
          </cell>
          <cell r="AQ3">
            <v>42</v>
          </cell>
          <cell r="AR3">
            <v>43</v>
          </cell>
          <cell r="AS3">
            <v>44</v>
          </cell>
          <cell r="AT3">
            <v>45</v>
          </cell>
          <cell r="AU3">
            <v>46</v>
          </cell>
          <cell r="AV3">
            <v>47</v>
          </cell>
          <cell r="AW3">
            <v>48</v>
          </cell>
          <cell r="AX3">
            <v>49</v>
          </cell>
          <cell r="AY3">
            <v>50</v>
          </cell>
          <cell r="AZ3">
            <v>51</v>
          </cell>
          <cell r="BA3">
            <v>52</v>
          </cell>
          <cell r="BB3">
            <v>53</v>
          </cell>
          <cell r="BC3">
            <v>54</v>
          </cell>
          <cell r="BD3">
            <v>55</v>
          </cell>
          <cell r="BE3">
            <v>56</v>
          </cell>
          <cell r="BF3">
            <v>57</v>
          </cell>
          <cell r="BG3">
            <v>58</v>
          </cell>
          <cell r="BH3">
            <v>59</v>
          </cell>
          <cell r="BI3">
            <v>60</v>
          </cell>
          <cell r="BJ3">
            <v>61</v>
          </cell>
          <cell r="BK3">
            <v>62</v>
          </cell>
          <cell r="BL3">
            <v>63</v>
          </cell>
          <cell r="BM3">
            <v>64</v>
          </cell>
          <cell r="BN3">
            <v>65</v>
          </cell>
          <cell r="BO3">
            <v>66</v>
          </cell>
          <cell r="BP3">
            <v>67</v>
          </cell>
          <cell r="BQ3">
            <v>68</v>
          </cell>
          <cell r="BR3">
            <v>69</v>
          </cell>
          <cell r="BS3">
            <v>70</v>
          </cell>
          <cell r="BT3">
            <v>71</v>
          </cell>
          <cell r="BU3">
            <v>72</v>
          </cell>
          <cell r="BV3">
            <v>73</v>
          </cell>
          <cell r="BW3">
            <v>74</v>
          </cell>
          <cell r="BX3">
            <v>75</v>
          </cell>
          <cell r="BY3">
            <v>76</v>
          </cell>
          <cell r="BZ3">
            <v>77</v>
          </cell>
          <cell r="CA3">
            <v>78</v>
          </cell>
          <cell r="CB3">
            <v>79</v>
          </cell>
          <cell r="CC3">
            <v>80</v>
          </cell>
          <cell r="CD3">
            <v>81</v>
          </cell>
          <cell r="CE3">
            <v>82</v>
          </cell>
          <cell r="CF3">
            <v>83</v>
          </cell>
          <cell r="CG3">
            <v>84</v>
          </cell>
          <cell r="CH3">
            <v>85</v>
          </cell>
          <cell r="CI3">
            <v>86</v>
          </cell>
          <cell r="CJ3">
            <v>87</v>
          </cell>
          <cell r="CK3">
            <v>88</v>
          </cell>
          <cell r="CL3">
            <v>89</v>
          </cell>
          <cell r="CM3">
            <v>90</v>
          </cell>
          <cell r="CN3">
            <v>91</v>
          </cell>
          <cell r="CO3">
            <v>92</v>
          </cell>
          <cell r="CP3">
            <v>93</v>
          </cell>
          <cell r="CQ3">
            <v>94</v>
          </cell>
          <cell r="CR3">
            <v>95</v>
          </cell>
          <cell r="CS3">
            <v>96</v>
          </cell>
          <cell r="CT3">
            <v>97</v>
          </cell>
          <cell r="CU3">
            <v>98</v>
          </cell>
          <cell r="CV3">
            <v>99</v>
          </cell>
          <cell r="CW3">
            <v>100</v>
          </cell>
          <cell r="CX3">
            <v>101</v>
          </cell>
          <cell r="CY3">
            <v>102</v>
          </cell>
          <cell r="CZ3">
            <v>103</v>
          </cell>
          <cell r="DA3">
            <v>104</v>
          </cell>
          <cell r="DB3">
            <v>105</v>
          </cell>
          <cell r="DC3">
            <v>106</v>
          </cell>
          <cell r="DD3">
            <v>107</v>
          </cell>
          <cell r="DE3">
            <v>108</v>
          </cell>
          <cell r="DF3">
            <v>109</v>
          </cell>
          <cell r="DG3">
            <v>110</v>
          </cell>
          <cell r="DH3">
            <v>111</v>
          </cell>
          <cell r="DI3">
            <v>112</v>
          </cell>
          <cell r="DJ3">
            <v>113</v>
          </cell>
          <cell r="DK3">
            <v>114</v>
          </cell>
          <cell r="DL3">
            <v>115</v>
          </cell>
          <cell r="DM3">
            <v>116</v>
          </cell>
          <cell r="DN3">
            <v>117</v>
          </cell>
          <cell r="DO3">
            <v>118</v>
          </cell>
          <cell r="DP3">
            <v>119</v>
          </cell>
          <cell r="DQ3">
            <v>120</v>
          </cell>
          <cell r="DR3">
            <v>121</v>
          </cell>
          <cell r="DS3">
            <v>122</v>
          </cell>
          <cell r="DT3">
            <v>123</v>
          </cell>
          <cell r="DU3">
            <v>124</v>
          </cell>
          <cell r="DV3">
            <v>125</v>
          </cell>
          <cell r="DW3">
            <v>126</v>
          </cell>
          <cell r="DX3">
            <v>127</v>
          </cell>
          <cell r="DY3">
            <v>128</v>
          </cell>
          <cell r="DZ3">
            <v>129</v>
          </cell>
          <cell r="EA3">
            <v>130</v>
          </cell>
          <cell r="EB3">
            <v>131</v>
          </cell>
          <cell r="EC3">
            <v>132</v>
          </cell>
          <cell r="ED3">
            <v>133</v>
          </cell>
          <cell r="EE3">
            <v>134</v>
          </cell>
          <cell r="EF3">
            <v>135</v>
          </cell>
          <cell r="EG3">
            <v>136</v>
          </cell>
          <cell r="EH3">
            <v>137</v>
          </cell>
          <cell r="EI3">
            <v>138</v>
          </cell>
          <cell r="EJ3">
            <v>139</v>
          </cell>
          <cell r="EK3">
            <v>140</v>
          </cell>
          <cell r="EL3">
            <v>141</v>
          </cell>
          <cell r="EM3">
            <v>142</v>
          </cell>
          <cell r="EN3">
            <v>143</v>
          </cell>
          <cell r="EO3">
            <v>144</v>
          </cell>
          <cell r="EP3">
            <v>145</v>
          </cell>
          <cell r="EQ3">
            <v>146</v>
          </cell>
          <cell r="ER3">
            <v>147</v>
          </cell>
          <cell r="ES3">
            <v>148</v>
          </cell>
          <cell r="ET3">
            <v>149</v>
          </cell>
          <cell r="EU3">
            <v>150</v>
          </cell>
          <cell r="EV3">
            <v>151</v>
          </cell>
          <cell r="EW3">
            <v>152</v>
          </cell>
          <cell r="EX3">
            <v>153</v>
          </cell>
          <cell r="EY3">
            <v>154</v>
          </cell>
          <cell r="EZ3">
            <v>155</v>
          </cell>
          <cell r="FA3">
            <v>156</v>
          </cell>
          <cell r="FB3">
            <v>157</v>
          </cell>
          <cell r="FC3">
            <v>158</v>
          </cell>
          <cell r="FD3">
            <v>159</v>
          </cell>
          <cell r="FE3">
            <v>160</v>
          </cell>
          <cell r="FF3">
            <v>161</v>
          </cell>
          <cell r="FG3">
            <v>162</v>
          </cell>
          <cell r="FH3">
            <v>163</v>
          </cell>
          <cell r="FI3">
            <v>164</v>
          </cell>
          <cell r="FJ3">
            <v>165</v>
          </cell>
          <cell r="FK3">
            <v>166</v>
          </cell>
          <cell r="FL3">
            <v>167</v>
          </cell>
          <cell r="FM3">
            <v>168</v>
          </cell>
          <cell r="FN3">
            <v>169</v>
          </cell>
          <cell r="FO3">
            <v>170</v>
          </cell>
          <cell r="FP3">
            <v>171</v>
          </cell>
          <cell r="FQ3">
            <v>172</v>
          </cell>
          <cell r="FR3">
            <v>173</v>
          </cell>
          <cell r="FS3">
            <v>174</v>
          </cell>
          <cell r="FT3">
            <v>175</v>
          </cell>
          <cell r="FU3">
            <v>176</v>
          </cell>
          <cell r="FV3">
            <v>177</v>
          </cell>
          <cell r="FW3">
            <v>178</v>
          </cell>
          <cell r="FX3">
            <v>179</v>
          </cell>
          <cell r="FY3">
            <v>180</v>
          </cell>
          <cell r="FZ3">
            <v>181</v>
          </cell>
          <cell r="GA3">
            <v>182</v>
          </cell>
          <cell r="GB3">
            <v>183</v>
          </cell>
          <cell r="GC3">
            <v>184</v>
          </cell>
          <cell r="GD3">
            <v>185</v>
          </cell>
          <cell r="GE3">
            <v>186</v>
          </cell>
          <cell r="GF3">
            <v>187</v>
          </cell>
          <cell r="GG3">
            <v>188</v>
          </cell>
          <cell r="GH3">
            <v>189</v>
          </cell>
          <cell r="GI3">
            <v>190</v>
          </cell>
          <cell r="GJ3">
            <v>191</v>
          </cell>
          <cell r="GK3">
            <v>192</v>
          </cell>
          <cell r="GL3">
            <v>193</v>
          </cell>
          <cell r="GM3">
            <v>194</v>
          </cell>
          <cell r="GN3">
            <v>195</v>
          </cell>
          <cell r="GO3">
            <v>196</v>
          </cell>
          <cell r="GP3">
            <v>197</v>
          </cell>
          <cell r="GQ3">
            <v>198</v>
          </cell>
          <cell r="GR3">
            <v>199</v>
          </cell>
          <cell r="GS3">
            <v>200</v>
          </cell>
          <cell r="GT3">
            <v>201</v>
          </cell>
          <cell r="GU3">
            <v>202</v>
          </cell>
          <cell r="GV3">
            <v>203</v>
          </cell>
          <cell r="GW3">
            <v>204</v>
          </cell>
          <cell r="GX3">
            <v>205</v>
          </cell>
          <cell r="GY3">
            <v>206</v>
          </cell>
          <cell r="GZ3">
            <v>207</v>
          </cell>
          <cell r="HA3">
            <v>208</v>
          </cell>
          <cell r="HB3">
            <v>209</v>
          </cell>
          <cell r="HC3">
            <v>210</v>
          </cell>
          <cell r="HD3">
            <v>211</v>
          </cell>
          <cell r="HE3">
            <v>212</v>
          </cell>
          <cell r="HF3">
            <v>213</v>
          </cell>
          <cell r="HG3">
            <v>214</v>
          </cell>
          <cell r="HH3">
            <v>215</v>
          </cell>
          <cell r="HI3">
            <v>216</v>
          </cell>
          <cell r="HJ3">
            <v>217</v>
          </cell>
          <cell r="HK3">
            <v>218</v>
          </cell>
          <cell r="HL3">
            <v>219</v>
          </cell>
          <cell r="HM3">
            <v>220</v>
          </cell>
          <cell r="HN3">
            <v>221</v>
          </cell>
          <cell r="HO3">
            <v>222</v>
          </cell>
          <cell r="HP3">
            <v>223</v>
          </cell>
          <cell r="HQ3">
            <v>224</v>
          </cell>
          <cell r="HR3">
            <v>225</v>
          </cell>
          <cell r="HS3">
            <v>226</v>
          </cell>
          <cell r="HT3">
            <v>227</v>
          </cell>
          <cell r="HU3">
            <v>228</v>
          </cell>
          <cell r="HV3">
            <v>229</v>
          </cell>
          <cell r="HW3">
            <v>230</v>
          </cell>
          <cell r="HX3">
            <v>231</v>
          </cell>
          <cell r="HY3">
            <v>232</v>
          </cell>
          <cell r="HZ3">
            <v>233</v>
          </cell>
          <cell r="IA3">
            <v>234</v>
          </cell>
          <cell r="IB3">
            <v>235</v>
          </cell>
          <cell r="IC3">
            <v>236</v>
          </cell>
          <cell r="ID3">
            <v>237</v>
          </cell>
          <cell r="IE3">
            <v>238</v>
          </cell>
          <cell r="IF3">
            <v>239</v>
          </cell>
          <cell r="IG3">
            <v>240</v>
          </cell>
          <cell r="IH3">
            <v>241</v>
          </cell>
          <cell r="II3">
            <v>242</v>
          </cell>
          <cell r="IJ3">
            <v>243</v>
          </cell>
          <cell r="IK3">
            <v>244</v>
          </cell>
          <cell r="IL3">
            <v>245</v>
          </cell>
          <cell r="IM3">
            <v>246</v>
          </cell>
          <cell r="IN3">
            <v>247</v>
          </cell>
          <cell r="IO3">
            <v>248</v>
          </cell>
          <cell r="IP3">
            <v>249</v>
          </cell>
          <cell r="IQ3">
            <v>250</v>
          </cell>
          <cell r="IR3">
            <v>251</v>
          </cell>
          <cell r="IS3">
            <v>252</v>
          </cell>
          <cell r="IT3">
            <v>253</v>
          </cell>
          <cell r="IU3">
            <v>254</v>
          </cell>
          <cell r="IV3">
            <v>255</v>
          </cell>
          <cell r="IW3">
            <v>256</v>
          </cell>
          <cell r="IX3">
            <v>257</v>
          </cell>
          <cell r="IY3">
            <v>258</v>
          </cell>
          <cell r="IZ3">
            <v>259</v>
          </cell>
          <cell r="JA3">
            <v>260</v>
          </cell>
          <cell r="JB3">
            <v>261</v>
          </cell>
          <cell r="JC3">
            <v>262</v>
          </cell>
          <cell r="JD3">
            <v>263</v>
          </cell>
          <cell r="JE3">
            <v>264</v>
          </cell>
          <cell r="JF3">
            <v>265</v>
          </cell>
          <cell r="JG3">
            <v>266</v>
          </cell>
          <cell r="JH3">
            <v>267</v>
          </cell>
          <cell r="JI3">
            <v>268</v>
          </cell>
          <cell r="JJ3">
            <v>269</v>
          </cell>
          <cell r="JK3">
            <v>270</v>
          </cell>
          <cell r="JL3">
            <v>271</v>
          </cell>
          <cell r="JM3">
            <v>272</v>
          </cell>
          <cell r="JN3">
            <v>273</v>
          </cell>
          <cell r="JO3">
            <v>274</v>
          </cell>
          <cell r="JP3">
            <v>275</v>
          </cell>
          <cell r="JQ3">
            <v>276</v>
          </cell>
          <cell r="JR3">
            <v>277</v>
          </cell>
          <cell r="JS3">
            <v>278</v>
          </cell>
          <cell r="JT3">
            <v>279</v>
          </cell>
          <cell r="JU3">
            <v>280</v>
          </cell>
          <cell r="JV3">
            <v>281</v>
          </cell>
          <cell r="JW3">
            <v>282</v>
          </cell>
          <cell r="JX3">
            <v>283</v>
          </cell>
          <cell r="JY3">
            <v>284</v>
          </cell>
          <cell r="JZ3">
            <v>285</v>
          </cell>
          <cell r="KA3">
            <v>286</v>
          </cell>
          <cell r="KB3">
            <v>287</v>
          </cell>
          <cell r="KC3">
            <v>288</v>
          </cell>
          <cell r="KD3">
            <v>289</v>
          </cell>
          <cell r="KE3">
            <v>290</v>
          </cell>
          <cell r="KF3">
            <v>291</v>
          </cell>
          <cell r="KG3">
            <v>292</v>
          </cell>
          <cell r="KH3">
            <v>293</v>
          </cell>
          <cell r="KI3">
            <v>294</v>
          </cell>
          <cell r="KJ3">
            <v>295</v>
          </cell>
          <cell r="KK3">
            <v>296</v>
          </cell>
          <cell r="KL3">
            <v>297</v>
          </cell>
          <cell r="KM3">
            <v>298</v>
          </cell>
          <cell r="KN3">
            <v>299</v>
          </cell>
          <cell r="KO3">
            <v>300</v>
          </cell>
        </row>
        <row r="4">
          <cell r="A4" t="str">
            <v>L/day</v>
          </cell>
          <cell r="B4">
            <v>12.937714422577596</v>
          </cell>
          <cell r="C4">
            <v>13.082616824110467</v>
          </cell>
          <cell r="D4">
            <v>13.229142132540506</v>
          </cell>
          <cell r="E4">
            <v>13.377308524424961</v>
          </cell>
          <cell r="F4">
            <v>13.527134379898522</v>
          </cell>
          <cell r="G4">
            <v>13.678638284953387</v>
          </cell>
          <cell r="H4">
            <v>13.831839033744865</v>
          </cell>
          <cell r="I4">
            <v>13.98675563092281</v>
          </cell>
          <cell r="J4">
            <v>14.143407293989146</v>
          </cell>
          <cell r="K4">
            <v>14.301813455681826</v>
          </cell>
          <cell r="L4">
            <v>14.461993766385463</v>
          </cell>
          <cell r="M4">
            <v>14.623968096568982</v>
          </cell>
          <cell r="N4">
            <v>14.787756539250555</v>
          </cell>
          <cell r="O4">
            <v>14.953379412490163</v>
          </cell>
          <cell r="P4">
            <v>15.120857261910054</v>
          </cell>
          <cell r="Q4">
            <v>15.290210863243448</v>
          </cell>
          <cell r="R4">
            <v>15.461461224911776</v>
          </cell>
          <cell r="S4">
            <v>15.634629590630789</v>
          </cell>
          <cell r="T4">
            <v>15.809737442045856</v>
          </cell>
          <cell r="U4">
            <v>15.986806501396771</v>
          </cell>
          <cell r="V4">
            <v>16.165858734212417</v>
          </cell>
          <cell r="W4">
            <v>16.346916352035599</v>
          </cell>
          <cell r="X4">
            <v>16.530001815178398</v>
          </cell>
          <cell r="Y4">
            <v>16.715137835508397</v>
          </cell>
          <cell r="Z4">
            <v>16.902347379266093</v>
          </cell>
          <cell r="AA4">
            <v>17.091653669913875</v>
          </cell>
          <cell r="AB4">
            <v>17.283080191016911</v>
          </cell>
          <cell r="AC4">
            <v>17.476650689156301</v>
          </cell>
          <cell r="AD4">
            <v>17.672389176874855</v>
          </cell>
          <cell r="AE4">
            <v>17.870319935655854</v>
          </cell>
          <cell r="AF4">
            <v>18.0704675189352</v>
          </cell>
          <cell r="AG4">
            <v>18.272856755147277</v>
          </cell>
          <cell r="AH4">
            <v>18.47751275080493</v>
          </cell>
          <cell r="AI4">
            <v>18.684460893613949</v>
          </cell>
          <cell r="AJ4">
            <v>18.893726855622425</v>
          </cell>
          <cell r="AK4">
            <v>19.105336596405397</v>
          </cell>
          <cell r="AL4">
            <v>19.31931636628514</v>
          </cell>
          <cell r="AM4">
            <v>19.535692709587536</v>
          </cell>
          <cell r="AN4">
            <v>19.75449246793492</v>
          </cell>
          <cell r="AO4">
            <v>19.975742783575793</v>
          </cell>
          <cell r="AP4">
            <v>20.199471102751843</v>
          </cell>
          <cell r="AQ4">
            <v>20.425705179102668</v>
          </cell>
          <cell r="AR4">
            <v>20.654473077108619</v>
          </cell>
          <cell r="AS4">
            <v>20.885803175572239</v>
          </cell>
          <cell r="AT4">
            <v>21.11972417113865</v>
          </cell>
          <cell r="AU4">
            <v>21.356265081855405</v>
          </cell>
          <cell r="AV4">
            <v>21.595455250772186</v>
          </cell>
          <cell r="AW4">
            <v>21.837324349580836</v>
          </cell>
          <cell r="AX4">
            <v>22.081902382296143</v>
          </cell>
          <cell r="AY4">
            <v>22.329219688977862</v>
          </cell>
          <cell r="AZ4">
            <v>22.579306949494416</v>
          </cell>
          <cell r="BA4">
            <v>22.832195187328757</v>
          </cell>
          <cell r="BB4">
            <v>23.087915773426843</v>
          </cell>
          <cell r="BC4">
            <v>23.346500430089225</v>
          </cell>
          <cell r="BD4">
            <v>23.607981234906227</v>
          </cell>
          <cell r="BE4">
            <v>23.726021141080754</v>
          </cell>
          <cell r="BF4">
            <v>23.844651246786153</v>
          </cell>
          <cell r="BG4">
            <v>23.963874503020083</v>
          </cell>
          <cell r="BH4">
            <v>24.083693875535182</v>
          </cell>
          <cell r="BI4">
            <v>24.204112344912854</v>
          </cell>
          <cell r="BJ4">
            <v>24.325132906637418</v>
          </cell>
          <cell r="BK4">
            <v>24.446758571170601</v>
          </cell>
          <cell r="BL4">
            <v>24.568992364026453</v>
          </cell>
          <cell r="BM4">
            <v>24.691837325846581</v>
          </cell>
          <cell r="BN4">
            <v>24.815296512475811</v>
          </cell>
          <cell r="BO4">
            <v>24.939372995038187</v>
          </cell>
          <cell r="BP4">
            <v>25.064069860013376</v>
          </cell>
          <cell r="BQ4">
            <v>25.189390209313441</v>
          </cell>
          <cell r="BR4">
            <v>25.315337160360006</v>
          </cell>
          <cell r="BS4">
            <v>25.441913846161803</v>
          </cell>
          <cell r="BT4">
            <v>25.56912341539261</v>
          </cell>
          <cell r="BU4">
            <v>25.696969032469571</v>
          </cell>
          <cell r="BV4">
            <v>25.825453877631915</v>
          </cell>
          <cell r="BW4">
            <v>25.954581147020072</v>
          </cell>
          <cell r="BX4">
            <v>25.894020457677026</v>
          </cell>
          <cell r="BY4">
            <v>25.833601076609114</v>
          </cell>
          <cell r="BZ4">
            <v>25.773322674097027</v>
          </cell>
          <cell r="CA4">
            <v>25.713184921190802</v>
          </cell>
          <cell r="CB4">
            <v>25.653187489708024</v>
          </cell>
          <cell r="CC4">
            <v>25.593330052232041</v>
          </cell>
          <cell r="CD4">
            <v>25.533612282110166</v>
          </cell>
          <cell r="CE4">
            <v>25.47403385345191</v>
          </cell>
          <cell r="CF4">
            <v>25.414594441127189</v>
          </cell>
          <cell r="CG4">
            <v>25.355293720764561</v>
          </cell>
          <cell r="CH4">
            <v>25.296131368749442</v>
          </cell>
          <cell r="CI4">
            <v>25.237107062222361</v>
          </cell>
          <cell r="CJ4">
            <v>25.178220479077176</v>
          </cell>
          <cell r="CK4">
            <v>25.119471297959329</v>
          </cell>
          <cell r="CL4">
            <v>25.06085919826409</v>
          </cell>
          <cell r="CM4">
            <v>25.00238386013481</v>
          </cell>
          <cell r="CN4">
            <v>24.944044964461163</v>
          </cell>
          <cell r="CO4">
            <v>24.885842192877423</v>
          </cell>
          <cell r="CP4">
            <v>24.827775227760711</v>
          </cell>
          <cell r="CQ4">
            <v>24.769843752229271</v>
          </cell>
          <cell r="CR4">
            <v>24.712047450140737</v>
          </cell>
          <cell r="CS4">
            <v>24.654386006090409</v>
          </cell>
          <cell r="CT4">
            <v>24.596859105409532</v>
          </cell>
          <cell r="CU4">
            <v>24.539466434163579</v>
          </cell>
          <cell r="CV4">
            <v>24.48220767915053</v>
          </cell>
          <cell r="CW4">
            <v>24.425082527899178</v>
          </cell>
          <cell r="CX4">
            <v>24.368090668667413</v>
          </cell>
          <cell r="CY4">
            <v>24.311231790440523</v>
          </cell>
          <cell r="CZ4">
            <v>24.254505582929497</v>
          </cell>
          <cell r="DA4">
            <v>24.197911736569328</v>
          </cell>
          <cell r="DB4">
            <v>24.141449942517333</v>
          </cell>
          <cell r="DC4">
            <v>24.085119892651459</v>
          </cell>
          <cell r="DD4">
            <v>24.028921279568607</v>
          </cell>
          <cell r="DE4">
            <v>23.972853796582946</v>
          </cell>
          <cell r="DF4">
            <v>23.916917137724255</v>
          </cell>
          <cell r="DG4">
            <v>23.861110997736233</v>
          </cell>
          <cell r="DH4">
            <v>23.80543507207485</v>
          </cell>
          <cell r="DI4">
            <v>23.749889056906678</v>
          </cell>
          <cell r="DJ4">
            <v>23.69447264910723</v>
          </cell>
          <cell r="DK4">
            <v>23.639185546259313</v>
          </cell>
          <cell r="DL4">
            <v>23.584027446651376</v>
          </cell>
          <cell r="DM4">
            <v>23.528998049275856</v>
          </cell>
          <cell r="DN4">
            <v>23.474097053827546</v>
          </cell>
          <cell r="DO4">
            <v>23.419324160701947</v>
          </cell>
          <cell r="DP4">
            <v>23.364679070993645</v>
          </cell>
          <cell r="DQ4">
            <v>23.31016148649466</v>
          </cell>
          <cell r="DR4">
            <v>23.255771109692841</v>
          </cell>
          <cell r="DS4">
            <v>23.201507643770224</v>
          </cell>
          <cell r="DT4">
            <v>23.147370792601428</v>
          </cell>
          <cell r="DU4">
            <v>23.093360260752025</v>
          </cell>
          <cell r="DV4">
            <v>23.039475753476939</v>
          </cell>
          <cell r="DW4">
            <v>22.985716976718827</v>
          </cell>
          <cell r="DX4">
            <v>22.932083637106484</v>
          </cell>
          <cell r="DY4">
            <v>22.878575441953235</v>
          </cell>
          <cell r="DZ4">
            <v>22.825192099255343</v>
          </cell>
          <cell r="EA4">
            <v>22.771933317690415</v>
          </cell>
          <cell r="EB4">
            <v>22.718798806615805</v>
          </cell>
          <cell r="EC4">
            <v>22.665788276067037</v>
          </cell>
          <cell r="ED4">
            <v>22.612901436756214</v>
          </cell>
          <cell r="EE4">
            <v>22.560138000070449</v>
          </cell>
          <cell r="EF4">
            <v>22.507497678070287</v>
          </cell>
          <cell r="EG4">
            <v>22.454980183488125</v>
          </cell>
          <cell r="EH4">
            <v>22.402585229726654</v>
          </cell>
          <cell r="EI4">
            <v>22.350312530857291</v>
          </cell>
          <cell r="EJ4">
            <v>22.298161801618626</v>
          </cell>
          <cell r="EK4">
            <v>22.246132757414848</v>
          </cell>
          <cell r="EL4">
            <v>22.194225114314214</v>
          </cell>
          <cell r="EM4">
            <v>22.142438589047483</v>
          </cell>
          <cell r="EN4">
            <v>22.090772899006375</v>
          </cell>
          <cell r="EO4">
            <v>22.039227762242028</v>
          </cell>
          <cell r="EP4">
            <v>21.987802897463464</v>
          </cell>
          <cell r="EQ4">
            <v>21.936498024036048</v>
          </cell>
          <cell r="ER4">
            <v>21.885312861979966</v>
          </cell>
          <cell r="ES4">
            <v>21.834247131968681</v>
          </cell>
          <cell r="ET4">
            <v>21.783300555327422</v>
          </cell>
          <cell r="EU4">
            <v>21.732472854031659</v>
          </cell>
          <cell r="EV4">
            <v>21.681763750705585</v>
          </cell>
          <cell r="EW4">
            <v>21.631172968620607</v>
          </cell>
          <cell r="EX4">
            <v>21.580700231693825</v>
          </cell>
          <cell r="EY4">
            <v>21.530345264486542</v>
          </cell>
          <cell r="EZ4">
            <v>21.480107792202741</v>
          </cell>
          <cell r="FA4">
            <v>21.429987540687602</v>
          </cell>
          <cell r="FB4">
            <v>21.379984236425997</v>
          </cell>
          <cell r="FC4">
            <v>21.330097606541003</v>
          </cell>
          <cell r="FD4">
            <v>21.280327378792407</v>
          </cell>
          <cell r="FE4">
            <v>21.230673281575225</v>
          </cell>
          <cell r="FF4">
            <v>21.181135043918218</v>
          </cell>
          <cell r="FG4">
            <v>21.13171239548241</v>
          </cell>
          <cell r="FH4">
            <v>21.08240506655962</v>
          </cell>
          <cell r="FI4">
            <v>21.03321278807098</v>
          </cell>
          <cell r="FJ4">
            <v>20.984135291565483</v>
          </cell>
          <cell r="FK4">
            <v>20.935172309218498</v>
          </cell>
          <cell r="FL4">
            <v>20.886323573830321</v>
          </cell>
          <cell r="FM4">
            <v>20.837588818824717</v>
          </cell>
          <cell r="FN4">
            <v>20.788967778247461</v>
          </cell>
          <cell r="FO4">
            <v>20.740460186764885</v>
          </cell>
          <cell r="FP4">
            <v>20.692065779662435</v>
          </cell>
          <cell r="FQ4">
            <v>20.643784292843225</v>
          </cell>
          <cell r="FR4">
            <v>20.595615462826594</v>
          </cell>
          <cell r="FS4">
            <v>20.547559026746665</v>
          </cell>
          <cell r="FT4">
            <v>20.499614722350923</v>
          </cell>
          <cell r="FU4">
            <v>20.451782287998771</v>
          </cell>
          <cell r="FV4">
            <v>20.40406146266011</v>
          </cell>
          <cell r="FW4">
            <v>20.356451985913903</v>
          </cell>
          <cell r="FX4">
            <v>20.308953597946772</v>
          </cell>
          <cell r="FY4">
            <v>20.261566039551564</v>
          </cell>
          <cell r="FZ4">
            <v>20.214289052125945</v>
          </cell>
          <cell r="GA4">
            <v>20.167122377670985</v>
          </cell>
          <cell r="GB4">
            <v>20.120065758789753</v>
          </cell>
          <cell r="GC4">
            <v>20.073118938685912</v>
          </cell>
          <cell r="GD4">
            <v>20.026281661162312</v>
          </cell>
          <cell r="GE4">
            <v>19.979553670619602</v>
          </cell>
          <cell r="GF4">
            <v>19.932934712054823</v>
          </cell>
          <cell r="GG4">
            <v>19.88642453106003</v>
          </cell>
          <cell r="GH4">
            <v>19.840022873820889</v>
          </cell>
          <cell r="GI4">
            <v>19.793729487115307</v>
          </cell>
          <cell r="GJ4">
            <v>19.747544118312039</v>
          </cell>
          <cell r="GK4">
            <v>19.701466515369312</v>
          </cell>
          <cell r="GL4">
            <v>19.655496426833452</v>
          </cell>
          <cell r="GM4">
            <v>19.609633601837508</v>
          </cell>
          <cell r="GN4">
            <v>19.563877790099887</v>
          </cell>
          <cell r="GO4">
            <v>19.518228741922989</v>
          </cell>
          <cell r="GP4">
            <v>19.472686208191835</v>
          </cell>
          <cell r="GQ4">
            <v>19.427249940372722</v>
          </cell>
          <cell r="GR4">
            <v>19.381919690511854</v>
          </cell>
          <cell r="GS4">
            <v>19.336695211233994</v>
          </cell>
          <cell r="GT4">
            <v>19.291576255741116</v>
          </cell>
          <cell r="GU4">
            <v>19.246562577811055</v>
          </cell>
          <cell r="GV4">
            <v>19.201653931796162</v>
          </cell>
          <cell r="GW4">
            <v>19.156850072621971</v>
          </cell>
          <cell r="GX4">
            <v>19.112150755785855</v>
          </cell>
          <cell r="GY4">
            <v>19.06755573735569</v>
          </cell>
          <cell r="GZ4">
            <v>19.023064773968528</v>
          </cell>
          <cell r="HA4">
            <v>18.97867762282927</v>
          </cell>
          <cell r="HB4">
            <v>18.934394041709336</v>
          </cell>
          <cell r="HC4">
            <v>18.890213788945349</v>
          </cell>
          <cell r="HD4">
            <v>18.846136623437811</v>
          </cell>
          <cell r="HE4">
            <v>18.802162304649791</v>
          </cell>
          <cell r="HF4">
            <v>18.758290592605608</v>
          </cell>
          <cell r="HG4">
            <v>18.714521247889529</v>
          </cell>
          <cell r="HH4">
            <v>18.670854031644453</v>
          </cell>
          <cell r="HI4">
            <v>18.627288705570617</v>
          </cell>
          <cell r="HJ4">
            <v>18.583825031924285</v>
          </cell>
          <cell r="HK4">
            <v>18.540462773516463</v>
          </cell>
          <cell r="HL4">
            <v>18.497201693711592</v>
          </cell>
          <cell r="HM4">
            <v>18.454041556426265</v>
          </cell>
          <cell r="HN4">
            <v>18.410982126127937</v>
          </cell>
          <cell r="HO4">
            <v>18.368023167833638</v>
          </cell>
          <cell r="HP4">
            <v>18.325164447108694</v>
          </cell>
          <cell r="HQ4">
            <v>18.282405730065442</v>
          </cell>
          <cell r="HR4">
            <v>18.239746783361955</v>
          </cell>
          <cell r="HS4">
            <v>18.197187374200777</v>
          </cell>
          <cell r="HT4">
            <v>18.154727270327641</v>
          </cell>
          <cell r="HU4">
            <v>18.112366240030209</v>
          </cell>
          <cell r="HV4">
            <v>18.070104052136806</v>
          </cell>
          <cell r="HW4">
            <v>18.027940476015154</v>
          </cell>
          <cell r="HX4">
            <v>17.985875281571118</v>
          </cell>
          <cell r="HY4">
            <v>17.943908239247452</v>
          </cell>
          <cell r="HZ4">
            <v>17.902039120022543</v>
          </cell>
          <cell r="IA4">
            <v>17.860267695409156</v>
          </cell>
          <cell r="IB4">
            <v>17.818593737453202</v>
          </cell>
          <cell r="IC4">
            <v>17.777017018732479</v>
          </cell>
          <cell r="ID4">
            <v>17.735537312355437</v>
          </cell>
          <cell r="IE4">
            <v>17.694154391959941</v>
          </cell>
          <cell r="IF4">
            <v>17.652868031712035</v>
          </cell>
          <cell r="IG4">
            <v>17.611678006304707</v>
          </cell>
          <cell r="IH4">
            <v>17.570584090956665</v>
          </cell>
          <cell r="II4">
            <v>17.529586061411099</v>
          </cell>
          <cell r="IJ4">
            <v>17.488683693934473</v>
          </cell>
          <cell r="IK4">
            <v>17.447876765315293</v>
          </cell>
          <cell r="IL4">
            <v>17.40716505286289</v>
          </cell>
          <cell r="IM4">
            <v>17.366548334406211</v>
          </cell>
          <cell r="IN4">
            <v>17.326026388292597</v>
          </cell>
          <cell r="IO4">
            <v>17.285598993386582</v>
          </cell>
          <cell r="IP4">
            <v>17.24526592906868</v>
          </cell>
          <cell r="IQ4">
            <v>17.205026975234187</v>
          </cell>
          <cell r="IR4">
            <v>17.164881912291975</v>
          </cell>
          <cell r="IS4">
            <v>17.124830521163293</v>
          </cell>
          <cell r="IT4">
            <v>17.084872583280578</v>
          </cell>
          <cell r="IU4">
            <v>17.045007880586258</v>
          </cell>
          <cell r="IV4">
            <v>17.005236195531559</v>
          </cell>
          <cell r="IW4">
            <v>16.965557311075319</v>
          </cell>
          <cell r="IX4">
            <v>16.925971010682812</v>
          </cell>
          <cell r="IY4">
            <v>16.886477078324553</v>
          </cell>
          <cell r="IZ4">
            <v>16.847075298475129</v>
          </cell>
          <cell r="JA4">
            <v>16.807765456112023</v>
          </cell>
          <cell r="JB4">
            <v>16.768547336714427</v>
          </cell>
          <cell r="JC4">
            <v>16.729420726262095</v>
          </cell>
          <cell r="JD4">
            <v>16.69038541123415</v>
          </cell>
          <cell r="JE4">
            <v>16.651441178607936</v>
          </cell>
          <cell r="JF4">
            <v>16.61258781585785</v>
          </cell>
          <cell r="JG4">
            <v>16.573825110954182</v>
          </cell>
          <cell r="JH4">
            <v>16.535152852361957</v>
          </cell>
          <cell r="JI4">
            <v>16.496570829039779</v>
          </cell>
          <cell r="JJ4">
            <v>16.458078830438687</v>
          </cell>
          <cell r="JK4">
            <v>16.419676646500996</v>
          </cell>
          <cell r="JL4">
            <v>16.38136406765916</v>
          </cell>
          <cell r="JM4">
            <v>16.343140884834622</v>
          </cell>
          <cell r="JN4">
            <v>16.305006889436676</v>
          </cell>
          <cell r="JO4">
            <v>16.266961873361325</v>
          </cell>
          <cell r="JP4">
            <v>16.229005628990148</v>
          </cell>
          <cell r="JQ4">
            <v>16.191137949189173</v>
          </cell>
          <cell r="JR4">
            <v>16.153358627307732</v>
          </cell>
          <cell r="JS4">
            <v>16.115667457177349</v>
          </cell>
          <cell r="JT4">
            <v>16.078064233110602</v>
          </cell>
          <cell r="JU4">
            <v>16.040548749900012</v>
          </cell>
          <cell r="JV4">
            <v>16.003120802816913</v>
          </cell>
          <cell r="JW4">
            <v>15.96578018761034</v>
          </cell>
          <cell r="JX4">
            <v>15.928526700505916</v>
          </cell>
          <cell r="JY4">
            <v>15.891360138204735</v>
          </cell>
          <cell r="JZ4">
            <v>15.854280297882259</v>
          </cell>
          <cell r="KA4">
            <v>15.8172869771872</v>
          </cell>
          <cell r="KB4">
            <v>15.78037997424043</v>
          </cell>
          <cell r="KC4">
            <v>15.743559087633869</v>
          </cell>
          <cell r="KD4">
            <v>15.706824116429392</v>
          </cell>
          <cell r="KE4">
            <v>15.670174860157724</v>
          </cell>
          <cell r="KF4">
            <v>15.633611118817356</v>
          </cell>
          <cell r="KG4">
            <v>15.597132692873449</v>
          </cell>
          <cell r="KH4">
            <v>15.560739383256745</v>
          </cell>
          <cell r="KI4">
            <v>15.524430991362481</v>
          </cell>
          <cell r="KJ4">
            <v>15.488207319049302</v>
          </cell>
          <cell r="KK4">
            <v>15.452068168638187</v>
          </cell>
          <cell r="KL4">
            <v>15.416013342911365</v>
          </cell>
          <cell r="KM4">
            <v>15.380042645111239</v>
          </cell>
          <cell r="KN4">
            <v>15.344155878939313</v>
          </cell>
          <cell r="KO4">
            <v>15.308352848555122</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E155"/>
  <sheetViews>
    <sheetView showGridLines="0" workbookViewId="0">
      <selection activeCell="B8" sqref="B8"/>
    </sheetView>
  </sheetViews>
  <sheetFormatPr defaultRowHeight="12.75" x14ac:dyDescent="0.2"/>
  <cols>
    <col min="2" max="2" width="10.33203125" bestFit="1" customWidth="1"/>
  </cols>
  <sheetData>
    <row r="4" spans="1:14" ht="41.25" customHeight="1" x14ac:dyDescent="0.2">
      <c r="A4" s="274" t="s">
        <v>287</v>
      </c>
    </row>
    <row r="6" spans="1:14" ht="18.75" x14ac:dyDescent="0.3">
      <c r="A6" s="275" t="s">
        <v>114</v>
      </c>
      <c r="B6" s="6"/>
      <c r="C6" s="7"/>
      <c r="D6" s="7"/>
      <c r="E6" s="7"/>
      <c r="F6" s="7"/>
      <c r="G6" s="7"/>
      <c r="H6" s="8"/>
      <c r="I6" s="9"/>
      <c r="J6" s="7"/>
      <c r="K6" s="7"/>
      <c r="L6" s="7"/>
      <c r="M6" s="7"/>
      <c r="N6" s="7"/>
    </row>
    <row r="7" spans="1:14" ht="15.75" x14ac:dyDescent="0.25">
      <c r="B7" s="276" t="s">
        <v>115</v>
      </c>
      <c r="C7" s="7"/>
      <c r="D7" s="7"/>
      <c r="E7" s="7"/>
      <c r="F7" s="7"/>
      <c r="G7" s="7"/>
      <c r="H7" s="7"/>
      <c r="I7" s="7"/>
      <c r="J7" s="7"/>
      <c r="K7" s="7"/>
      <c r="L7" s="7"/>
      <c r="M7" s="7"/>
      <c r="N7" s="7"/>
    </row>
    <row r="8" spans="1:14" ht="15.75" x14ac:dyDescent="0.25">
      <c r="B8" s="276" t="s">
        <v>116</v>
      </c>
      <c r="C8" s="7"/>
      <c r="D8" s="7"/>
      <c r="E8" s="7"/>
      <c r="F8" s="7"/>
      <c r="G8" s="7"/>
      <c r="H8" s="7"/>
      <c r="I8" s="7"/>
      <c r="J8" s="7"/>
      <c r="K8" s="7"/>
      <c r="L8" s="7"/>
      <c r="M8" s="7"/>
      <c r="N8" s="7"/>
    </row>
    <row r="9" spans="1:14" ht="15.75" x14ac:dyDescent="0.25">
      <c r="B9" s="276" t="s">
        <v>117</v>
      </c>
      <c r="C9" s="7"/>
      <c r="D9" s="7"/>
      <c r="E9" s="7"/>
      <c r="F9" s="7"/>
      <c r="G9" s="7"/>
      <c r="H9" s="7"/>
      <c r="I9" s="7"/>
      <c r="J9" s="7"/>
      <c r="K9" s="7"/>
      <c r="L9" s="7"/>
      <c r="M9" s="7"/>
      <c r="N9" s="7"/>
    </row>
    <row r="10" spans="1:14" ht="15.75" x14ac:dyDescent="0.25">
      <c r="B10" s="276" t="s">
        <v>118</v>
      </c>
      <c r="C10" s="7"/>
      <c r="D10" s="7"/>
      <c r="E10" s="7"/>
      <c r="F10" s="7"/>
      <c r="G10" s="7"/>
      <c r="H10" s="7"/>
      <c r="I10" s="7"/>
      <c r="J10" s="7"/>
      <c r="K10" s="7"/>
      <c r="L10" s="7"/>
      <c r="M10" s="7"/>
      <c r="N10" s="7"/>
    </row>
    <row r="11" spans="1:14" ht="15.75" x14ac:dyDescent="0.25">
      <c r="B11" s="276" t="s">
        <v>119</v>
      </c>
      <c r="C11" s="7"/>
      <c r="D11" s="7"/>
      <c r="E11" s="7"/>
      <c r="F11" s="7"/>
      <c r="G11" s="7"/>
      <c r="H11" s="7"/>
      <c r="I11" s="7"/>
      <c r="J11" s="7"/>
      <c r="K11" s="7"/>
      <c r="L11" s="7"/>
      <c r="M11" s="7"/>
      <c r="N11" s="7"/>
    </row>
    <row r="12" spans="1:14" ht="15.75" x14ac:dyDescent="0.25">
      <c r="B12" s="276" t="s">
        <v>120</v>
      </c>
      <c r="C12" s="7"/>
      <c r="D12" s="7"/>
      <c r="E12" s="7"/>
      <c r="F12" s="7"/>
      <c r="G12" s="7"/>
      <c r="H12" s="7"/>
      <c r="I12" s="7"/>
      <c r="J12" s="7"/>
      <c r="K12" s="7"/>
      <c r="L12" s="7"/>
      <c r="M12" s="7"/>
      <c r="N12" s="7"/>
    </row>
    <row r="13" spans="1:14" ht="15.75" x14ac:dyDescent="0.25">
      <c r="B13" s="276" t="s">
        <v>121</v>
      </c>
      <c r="C13" s="7"/>
      <c r="D13" s="7"/>
      <c r="E13" s="7"/>
      <c r="F13" s="7"/>
      <c r="G13" s="7"/>
      <c r="H13" s="7"/>
      <c r="I13" s="7"/>
      <c r="J13" s="7"/>
      <c r="K13" s="7"/>
      <c r="L13" s="7"/>
      <c r="M13" s="7"/>
      <c r="N13" s="7"/>
    </row>
    <row r="14" spans="1:14" ht="15.75" x14ac:dyDescent="0.25">
      <c r="B14" s="276" t="s">
        <v>184</v>
      </c>
      <c r="C14" s="7"/>
      <c r="D14" s="7"/>
      <c r="E14" s="7"/>
      <c r="F14" s="7"/>
      <c r="G14" s="7"/>
      <c r="H14" s="7"/>
      <c r="I14" s="7"/>
      <c r="J14" s="7"/>
      <c r="K14" s="7"/>
      <c r="L14" s="7"/>
      <c r="M14" s="7"/>
      <c r="N14" s="7"/>
    </row>
    <row r="15" spans="1:14" ht="15.75" x14ac:dyDescent="0.25">
      <c r="A15" s="276"/>
      <c r="B15" s="10"/>
      <c r="C15" s="7"/>
      <c r="D15" s="7"/>
      <c r="E15" s="7"/>
      <c r="F15" s="7"/>
      <c r="G15" s="7"/>
      <c r="H15" s="7"/>
      <c r="I15" s="7"/>
      <c r="J15" s="7"/>
      <c r="K15" s="7"/>
      <c r="L15" s="7"/>
      <c r="M15" s="7"/>
      <c r="N15" s="7"/>
    </row>
    <row r="16" spans="1:14" ht="15.75" x14ac:dyDescent="0.25">
      <c r="A16" s="283" t="s">
        <v>122</v>
      </c>
      <c r="C16" s="7"/>
      <c r="D16" s="7"/>
      <c r="E16" s="7"/>
      <c r="F16" s="7"/>
      <c r="G16" s="7"/>
      <c r="H16" s="7"/>
      <c r="I16" s="7"/>
      <c r="J16" s="7"/>
      <c r="K16" s="7"/>
      <c r="L16" s="7"/>
      <c r="M16" s="7"/>
      <c r="N16" s="7"/>
    </row>
    <row r="17" spans="1:14" ht="15.75" x14ac:dyDescent="0.25">
      <c r="B17" s="276" t="s">
        <v>123</v>
      </c>
      <c r="C17" s="7"/>
      <c r="E17" s="7"/>
      <c r="F17" s="7"/>
      <c r="G17" s="7"/>
      <c r="H17" s="7"/>
      <c r="I17" s="7"/>
      <c r="J17" s="7"/>
      <c r="K17" s="7"/>
      <c r="L17" s="7"/>
      <c r="M17" s="7"/>
      <c r="N17" s="7"/>
    </row>
    <row r="18" spans="1:14" ht="15.75" x14ac:dyDescent="0.25">
      <c r="B18" s="276" t="s">
        <v>124</v>
      </c>
      <c r="C18" s="7"/>
      <c r="D18" s="7"/>
      <c r="E18" s="7"/>
      <c r="F18" s="7"/>
      <c r="G18" s="7"/>
      <c r="H18" s="7"/>
      <c r="I18" s="7"/>
      <c r="J18" s="7"/>
      <c r="K18" s="7"/>
      <c r="L18" s="7"/>
      <c r="M18" s="7"/>
      <c r="N18" s="7"/>
    </row>
    <row r="19" spans="1:14" ht="15.75" x14ac:dyDescent="0.25">
      <c r="B19" s="276" t="s">
        <v>125</v>
      </c>
      <c r="C19" s="7"/>
      <c r="D19" s="7"/>
      <c r="E19" s="7"/>
      <c r="F19" s="7"/>
      <c r="G19" s="7"/>
      <c r="H19" s="7"/>
      <c r="I19" s="7"/>
      <c r="J19" s="7"/>
      <c r="K19" s="7"/>
      <c r="L19" s="7"/>
      <c r="M19" s="7"/>
      <c r="N19" s="7"/>
    </row>
    <row r="20" spans="1:14" ht="15.75" x14ac:dyDescent="0.25">
      <c r="B20" s="276"/>
      <c r="C20" s="7"/>
      <c r="D20" s="7"/>
      <c r="E20" s="7"/>
      <c r="F20" s="7"/>
      <c r="G20" s="7"/>
      <c r="H20" s="7"/>
      <c r="I20" s="7"/>
      <c r="J20" s="7"/>
      <c r="K20" s="7"/>
      <c r="L20" s="7"/>
      <c r="M20" s="7"/>
      <c r="N20" s="7"/>
    </row>
    <row r="21" spans="1:14" ht="15.75" x14ac:dyDescent="0.25">
      <c r="B21" s="278" t="s">
        <v>126</v>
      </c>
      <c r="C21" s="7"/>
      <c r="D21" s="7"/>
      <c r="E21" s="7"/>
      <c r="F21" s="7"/>
      <c r="G21" s="7"/>
      <c r="H21" s="7"/>
      <c r="I21" s="7"/>
      <c r="J21" s="7"/>
      <c r="K21" s="7"/>
      <c r="L21" s="7"/>
      <c r="M21" s="7"/>
      <c r="N21" s="7"/>
    </row>
    <row r="22" spans="1:14" ht="15.75" x14ac:dyDescent="0.25">
      <c r="B22" s="278" t="s">
        <v>127</v>
      </c>
      <c r="C22" s="7"/>
      <c r="D22" s="7"/>
      <c r="E22" s="7"/>
      <c r="F22" s="7"/>
      <c r="G22" s="7"/>
      <c r="H22" s="7"/>
      <c r="I22" s="7"/>
      <c r="J22" s="7"/>
      <c r="K22" s="7"/>
      <c r="L22" s="7"/>
      <c r="M22" s="7"/>
      <c r="N22" s="7"/>
    </row>
    <row r="23" spans="1:14" ht="15.75" x14ac:dyDescent="0.25">
      <c r="B23" s="278" t="s">
        <v>185</v>
      </c>
      <c r="C23" s="5"/>
      <c r="D23" s="7"/>
      <c r="E23" s="7"/>
      <c r="F23" s="7"/>
      <c r="G23" s="7"/>
      <c r="H23" s="7"/>
      <c r="I23" s="7"/>
      <c r="J23" s="7"/>
      <c r="K23" s="7"/>
      <c r="L23" s="7"/>
      <c r="M23" s="7"/>
      <c r="N23" s="7"/>
    </row>
    <row r="24" spans="1:14" ht="15.75" x14ac:dyDescent="0.25">
      <c r="B24" s="278" t="s">
        <v>128</v>
      </c>
      <c r="C24" s="7"/>
      <c r="D24" s="7"/>
      <c r="E24" s="7"/>
      <c r="F24" s="7"/>
      <c r="G24" s="7"/>
      <c r="H24" s="7"/>
      <c r="I24" s="7"/>
      <c r="J24" s="7"/>
      <c r="K24" s="7"/>
      <c r="L24" s="7"/>
      <c r="M24" s="7"/>
      <c r="N24" s="7"/>
    </row>
    <row r="25" spans="1:14" ht="15.75" x14ac:dyDescent="0.25">
      <c r="B25" s="278" t="s">
        <v>289</v>
      </c>
      <c r="C25" s="7"/>
      <c r="D25" s="7"/>
      <c r="E25" s="7"/>
      <c r="F25" s="7"/>
      <c r="G25" s="7"/>
      <c r="H25" s="7"/>
      <c r="I25" s="7"/>
      <c r="J25" s="7"/>
      <c r="K25" s="7"/>
      <c r="L25" s="7"/>
      <c r="M25" s="7"/>
      <c r="N25" s="7"/>
    </row>
    <row r="26" spans="1:14" ht="15.75" x14ac:dyDescent="0.25">
      <c r="B26" s="278" t="s">
        <v>129</v>
      </c>
      <c r="C26" s="7"/>
      <c r="D26" s="7"/>
      <c r="E26" s="7"/>
      <c r="F26" s="7"/>
      <c r="G26" s="7"/>
      <c r="H26" s="7"/>
      <c r="I26" s="7"/>
      <c r="J26" s="7"/>
      <c r="K26" s="7"/>
      <c r="L26" s="7"/>
      <c r="M26" s="7"/>
      <c r="N26" s="7"/>
    </row>
    <row r="27" spans="1:14" ht="15.75" x14ac:dyDescent="0.25">
      <c r="B27" s="279" t="s">
        <v>130</v>
      </c>
      <c r="C27" s="7"/>
      <c r="D27" s="7"/>
      <c r="E27" s="7"/>
      <c r="F27" s="7"/>
      <c r="G27" s="7"/>
      <c r="H27" s="7"/>
      <c r="I27" s="7"/>
      <c r="J27" s="7"/>
      <c r="K27" s="7"/>
      <c r="L27" s="7"/>
      <c r="M27" s="7"/>
      <c r="N27" s="7"/>
    </row>
    <row r="28" spans="1:14" ht="15.75" x14ac:dyDescent="0.25">
      <c r="B28" s="279"/>
      <c r="C28" s="7"/>
      <c r="D28" s="7"/>
      <c r="E28" s="7"/>
      <c r="F28" s="7"/>
      <c r="G28" s="7"/>
      <c r="H28" s="7"/>
      <c r="I28" s="7"/>
      <c r="J28" s="7"/>
      <c r="K28" s="7"/>
      <c r="L28" s="7"/>
      <c r="M28" s="7"/>
      <c r="N28" s="7"/>
    </row>
    <row r="29" spans="1:14" ht="15.75" x14ac:dyDescent="0.25">
      <c r="A29" s="280"/>
      <c r="B29" s="17"/>
      <c r="C29" s="7"/>
      <c r="D29" s="7"/>
      <c r="E29" s="7"/>
      <c r="F29" s="7"/>
      <c r="G29" s="7"/>
      <c r="H29" s="7"/>
      <c r="I29" s="7"/>
      <c r="J29" s="7"/>
      <c r="K29" s="7"/>
      <c r="L29" s="7"/>
      <c r="M29" s="7"/>
      <c r="N29" s="7"/>
    </row>
    <row r="30" spans="1:14" ht="15.75" x14ac:dyDescent="0.25">
      <c r="A30" s="277" t="s">
        <v>131</v>
      </c>
      <c r="B30" s="17"/>
      <c r="C30" s="7"/>
      <c r="D30" s="7"/>
      <c r="E30" s="7"/>
      <c r="F30" s="7"/>
      <c r="G30" s="7"/>
      <c r="H30" s="7"/>
      <c r="I30" s="7"/>
      <c r="J30" s="7"/>
      <c r="K30" s="7"/>
      <c r="L30" s="7"/>
      <c r="M30" s="7"/>
      <c r="N30" s="7"/>
    </row>
    <row r="31" spans="1:14" ht="15.75" x14ac:dyDescent="0.25">
      <c r="B31" s="280" t="s">
        <v>132</v>
      </c>
      <c r="C31" s="7"/>
      <c r="D31" s="7"/>
      <c r="E31" s="7"/>
      <c r="F31" s="7"/>
      <c r="G31" s="7"/>
      <c r="H31" s="7"/>
      <c r="I31" s="7"/>
      <c r="J31" s="7"/>
      <c r="K31" s="7"/>
      <c r="L31" s="7"/>
      <c r="M31" s="7"/>
      <c r="N31" s="7"/>
    </row>
    <row r="32" spans="1:14" ht="15.75" x14ac:dyDescent="0.25">
      <c r="B32" s="276" t="s">
        <v>186</v>
      </c>
      <c r="C32" s="7"/>
      <c r="D32" s="7"/>
      <c r="E32" s="7"/>
      <c r="F32" s="7"/>
      <c r="G32" s="7"/>
      <c r="H32" s="7"/>
      <c r="I32" s="7"/>
      <c r="J32" s="7"/>
      <c r="K32" s="7"/>
      <c r="L32" s="7"/>
      <c r="M32" s="7"/>
      <c r="N32" s="7"/>
    </row>
    <row r="33" spans="2:14" ht="15.75" x14ac:dyDescent="0.25">
      <c r="B33" s="276" t="s">
        <v>133</v>
      </c>
      <c r="C33" s="7"/>
      <c r="D33" s="7"/>
      <c r="E33" s="7"/>
      <c r="F33" s="7"/>
      <c r="G33" s="7"/>
      <c r="H33" s="7"/>
      <c r="I33" s="7"/>
      <c r="J33" s="7"/>
      <c r="K33" s="7"/>
      <c r="L33" s="7"/>
      <c r="M33" s="7"/>
      <c r="N33" s="7"/>
    </row>
    <row r="34" spans="2:14" ht="15.75" x14ac:dyDescent="0.25">
      <c r="B34" s="276" t="s">
        <v>134</v>
      </c>
      <c r="C34" s="7"/>
      <c r="D34" s="7"/>
      <c r="E34" s="7"/>
      <c r="F34" s="7"/>
      <c r="G34" s="7"/>
      <c r="H34" s="7"/>
      <c r="I34" s="7"/>
      <c r="J34" s="7"/>
      <c r="K34" s="7"/>
      <c r="L34" s="7"/>
      <c r="M34" s="7"/>
      <c r="N34" s="7"/>
    </row>
    <row r="35" spans="2:14" ht="15.75" x14ac:dyDescent="0.25">
      <c r="B35" s="276"/>
      <c r="C35" s="7"/>
      <c r="D35" s="7"/>
      <c r="E35" s="7"/>
      <c r="F35" s="7"/>
      <c r="G35" s="7"/>
      <c r="H35" s="7"/>
      <c r="I35" s="7"/>
      <c r="J35" s="7"/>
      <c r="K35" s="7"/>
      <c r="L35" s="7"/>
      <c r="M35" s="7"/>
      <c r="N35" s="7"/>
    </row>
    <row r="36" spans="2:14" ht="15.75" x14ac:dyDescent="0.25">
      <c r="B36" s="281" t="s">
        <v>135</v>
      </c>
      <c r="C36" s="7"/>
      <c r="D36" s="7"/>
      <c r="E36" s="7"/>
      <c r="F36" s="7"/>
      <c r="G36" s="7"/>
      <c r="H36" s="7"/>
      <c r="I36" s="7"/>
      <c r="J36" s="7"/>
      <c r="K36" s="7"/>
      <c r="L36" s="7"/>
      <c r="M36" s="7"/>
      <c r="N36" s="7"/>
    </row>
    <row r="37" spans="2:14" ht="15.75" x14ac:dyDescent="0.25">
      <c r="B37" s="276" t="s">
        <v>136</v>
      </c>
      <c r="C37" s="7"/>
      <c r="D37" s="7"/>
      <c r="E37" s="7"/>
      <c r="F37" s="7"/>
      <c r="G37" s="7"/>
      <c r="H37" s="7"/>
      <c r="I37" s="7"/>
      <c r="J37" s="7"/>
      <c r="K37" s="7"/>
      <c r="L37" s="7"/>
      <c r="M37" s="7"/>
      <c r="N37" s="7"/>
    </row>
    <row r="38" spans="2:14" ht="15.75" x14ac:dyDescent="0.25">
      <c r="B38" s="276" t="s">
        <v>137</v>
      </c>
      <c r="C38" s="7"/>
      <c r="D38" s="7"/>
      <c r="E38" s="7"/>
      <c r="F38" s="7"/>
      <c r="G38" s="7"/>
      <c r="H38" s="7"/>
      <c r="I38" s="7"/>
      <c r="J38" s="7"/>
      <c r="K38" s="7"/>
      <c r="L38" s="7"/>
      <c r="M38" s="7"/>
      <c r="N38" s="7"/>
    </row>
    <row r="39" spans="2:14" ht="15.75" x14ac:dyDescent="0.25">
      <c r="B39" s="276"/>
      <c r="C39" s="7"/>
      <c r="D39" s="7"/>
      <c r="E39" s="7"/>
      <c r="F39" s="7"/>
      <c r="G39" s="7"/>
      <c r="H39" s="7"/>
      <c r="I39" s="7"/>
      <c r="J39" s="7"/>
      <c r="K39" s="7"/>
      <c r="L39" s="7"/>
      <c r="M39" s="7"/>
      <c r="N39" s="7"/>
    </row>
    <row r="40" spans="2:14" ht="15.75" x14ac:dyDescent="0.25">
      <c r="B40" s="281" t="s">
        <v>138</v>
      </c>
      <c r="C40" s="7"/>
      <c r="D40" s="7"/>
      <c r="E40" s="7"/>
      <c r="F40" s="7"/>
      <c r="G40" s="7"/>
      <c r="H40" s="7"/>
      <c r="I40" s="7"/>
      <c r="J40" s="7"/>
      <c r="K40" s="7"/>
      <c r="L40" s="7"/>
      <c r="M40" s="7"/>
      <c r="N40" s="7"/>
    </row>
    <row r="41" spans="2:14" ht="15.75" x14ac:dyDescent="0.25">
      <c r="B41" s="276" t="s">
        <v>139</v>
      </c>
      <c r="C41" s="7"/>
      <c r="D41" s="7"/>
      <c r="E41" s="7"/>
      <c r="F41" s="7"/>
      <c r="G41" s="7"/>
      <c r="H41" s="7"/>
      <c r="I41" s="7"/>
      <c r="J41" s="7"/>
      <c r="K41" s="7"/>
      <c r="L41" s="7"/>
      <c r="M41" s="7"/>
      <c r="N41" s="7"/>
    </row>
    <row r="42" spans="2:14" ht="15.75" x14ac:dyDescent="0.25">
      <c r="B42" s="282" t="s">
        <v>140</v>
      </c>
      <c r="C42" s="7"/>
      <c r="D42" s="7"/>
      <c r="E42" s="7"/>
      <c r="F42" s="7"/>
      <c r="G42" s="7"/>
      <c r="H42" s="7"/>
      <c r="I42" s="7"/>
      <c r="J42" s="7"/>
      <c r="K42" s="7"/>
      <c r="L42" s="7"/>
      <c r="M42" s="7"/>
      <c r="N42" s="7"/>
    </row>
    <row r="43" spans="2:14" ht="15.75" x14ac:dyDescent="0.25">
      <c r="B43" s="282" t="s">
        <v>141</v>
      </c>
      <c r="C43" s="7"/>
      <c r="D43" s="7"/>
      <c r="E43" s="7"/>
      <c r="F43" s="7"/>
      <c r="G43" s="7"/>
      <c r="H43" s="7"/>
      <c r="I43" s="7"/>
      <c r="J43" s="7"/>
      <c r="K43" s="7"/>
      <c r="L43" s="7"/>
      <c r="M43" s="7"/>
      <c r="N43" s="7"/>
    </row>
    <row r="44" spans="2:14" ht="15.75" x14ac:dyDescent="0.25">
      <c r="B44" s="282"/>
      <c r="C44" s="7" t="s">
        <v>291</v>
      </c>
      <c r="D44" s="7"/>
      <c r="E44" s="7"/>
      <c r="F44" s="7"/>
      <c r="G44" s="7"/>
      <c r="H44" s="7"/>
      <c r="I44" s="7"/>
      <c r="J44" s="7"/>
      <c r="K44" s="7"/>
      <c r="L44" s="7"/>
      <c r="M44" s="7"/>
      <c r="N44" s="7"/>
    </row>
    <row r="45" spans="2:14" ht="15.75" x14ac:dyDescent="0.25">
      <c r="B45" s="282" t="s">
        <v>142</v>
      </c>
      <c r="C45" s="7"/>
      <c r="D45" s="7"/>
      <c r="E45" s="7"/>
      <c r="F45" s="7"/>
      <c r="G45" s="7"/>
      <c r="H45" s="7"/>
      <c r="I45" s="7"/>
      <c r="J45" s="7"/>
      <c r="K45" s="7"/>
      <c r="L45" s="7"/>
      <c r="M45" s="7"/>
      <c r="N45" s="7"/>
    </row>
    <row r="46" spans="2:14" ht="15.75" x14ac:dyDescent="0.25">
      <c r="B46" s="276" t="s">
        <v>143</v>
      </c>
      <c r="C46" s="7"/>
      <c r="D46" s="7"/>
      <c r="E46" s="7"/>
      <c r="F46" s="7"/>
      <c r="G46" s="7"/>
      <c r="H46" s="7"/>
      <c r="I46" s="7"/>
      <c r="J46" s="7"/>
      <c r="K46" s="7"/>
      <c r="L46" s="7"/>
      <c r="M46" s="7"/>
      <c r="N46" s="7"/>
    </row>
    <row r="47" spans="2:14" ht="15.75" x14ac:dyDescent="0.25">
      <c r="B47" s="276" t="s">
        <v>187</v>
      </c>
      <c r="C47" s="7"/>
      <c r="D47" s="7"/>
      <c r="E47" s="7"/>
      <c r="F47" s="7"/>
      <c r="G47" s="7"/>
      <c r="H47" s="7"/>
      <c r="I47" s="7"/>
      <c r="J47" s="7"/>
      <c r="K47" s="7"/>
      <c r="L47" s="7"/>
      <c r="M47" s="7"/>
      <c r="N47" s="7"/>
    </row>
    <row r="48" spans="2:14" ht="15.75" x14ac:dyDescent="0.25">
      <c r="B48" s="276"/>
      <c r="C48" s="7"/>
      <c r="D48" s="7"/>
      <c r="E48" s="7"/>
      <c r="F48" s="7"/>
      <c r="G48" s="7"/>
      <c r="H48" s="7"/>
      <c r="I48" s="7"/>
      <c r="J48" s="7"/>
      <c r="K48" s="7"/>
      <c r="L48" s="7"/>
      <c r="M48" s="7"/>
      <c r="N48" s="7"/>
    </row>
    <row r="49" spans="2:14" ht="15.75" x14ac:dyDescent="0.25">
      <c r="B49" s="281" t="s">
        <v>144</v>
      </c>
      <c r="C49" s="7"/>
      <c r="D49" s="7"/>
      <c r="E49" s="7"/>
      <c r="F49" s="7"/>
      <c r="G49" s="7"/>
      <c r="H49" s="7"/>
      <c r="I49" s="7"/>
      <c r="J49" s="7"/>
      <c r="K49" s="7"/>
      <c r="L49" s="7"/>
      <c r="M49" s="7"/>
      <c r="N49" s="7"/>
    </row>
    <row r="50" spans="2:14" ht="15.75" x14ac:dyDescent="0.25">
      <c r="B50" s="276" t="s">
        <v>145</v>
      </c>
      <c r="C50" s="7"/>
      <c r="D50" s="7"/>
      <c r="E50" s="7"/>
      <c r="F50" s="7"/>
      <c r="G50" s="7"/>
      <c r="H50" s="7"/>
      <c r="I50" s="7"/>
      <c r="J50" s="7"/>
      <c r="K50" s="7"/>
      <c r="L50" s="7"/>
      <c r="M50" s="7"/>
      <c r="N50" s="7"/>
    </row>
    <row r="51" spans="2:14" ht="15.75" x14ac:dyDescent="0.25">
      <c r="B51" s="282" t="s">
        <v>146</v>
      </c>
      <c r="C51" s="7"/>
      <c r="D51" s="7"/>
      <c r="E51" s="7"/>
      <c r="F51" s="7"/>
      <c r="G51" s="7"/>
      <c r="H51" s="7"/>
      <c r="I51" s="7"/>
      <c r="J51" s="7"/>
      <c r="K51" s="7"/>
      <c r="L51" s="7"/>
      <c r="M51" s="7"/>
      <c r="N51" s="7"/>
    </row>
    <row r="52" spans="2:14" ht="15.75" x14ac:dyDescent="0.25">
      <c r="B52" s="282" t="s">
        <v>147</v>
      </c>
      <c r="C52" s="7"/>
      <c r="D52" s="7"/>
      <c r="E52" s="7"/>
      <c r="F52" s="7"/>
      <c r="G52" s="7"/>
      <c r="H52" s="7"/>
      <c r="I52" s="7"/>
      <c r="J52" s="7"/>
      <c r="K52" s="7"/>
      <c r="L52" s="7"/>
      <c r="M52" s="7"/>
      <c r="N52" s="7"/>
    </row>
    <row r="53" spans="2:14" ht="15.75" x14ac:dyDescent="0.25">
      <c r="B53" s="276" t="s">
        <v>148</v>
      </c>
      <c r="C53" s="7"/>
      <c r="D53" s="7"/>
      <c r="E53" s="7"/>
      <c r="F53" s="7"/>
      <c r="G53" s="7"/>
      <c r="H53" s="7"/>
      <c r="I53" s="7"/>
      <c r="J53" s="7"/>
      <c r="K53" s="7"/>
      <c r="L53" s="7"/>
      <c r="M53" s="7"/>
      <c r="N53" s="7"/>
    </row>
    <row r="54" spans="2:14" ht="15.75" x14ac:dyDescent="0.25">
      <c r="B54" s="276" t="s">
        <v>149</v>
      </c>
      <c r="C54" s="7"/>
      <c r="D54" s="7"/>
      <c r="E54" s="7"/>
      <c r="F54" s="7"/>
      <c r="G54" s="7"/>
      <c r="H54" s="7"/>
      <c r="I54" s="7"/>
      <c r="J54" s="7"/>
      <c r="K54" s="7"/>
      <c r="L54" s="7"/>
      <c r="M54" s="7"/>
      <c r="N54" s="7"/>
    </row>
    <row r="55" spans="2:14" ht="15.75" x14ac:dyDescent="0.25">
      <c r="B55" s="276"/>
      <c r="C55" s="7"/>
      <c r="D55" s="7"/>
      <c r="E55" s="7"/>
      <c r="F55" s="7"/>
      <c r="G55" s="7"/>
      <c r="H55" s="7"/>
      <c r="I55" s="7"/>
      <c r="J55" s="7"/>
      <c r="K55" s="7"/>
      <c r="L55" s="7"/>
      <c r="M55" s="7"/>
      <c r="N55" s="7"/>
    </row>
    <row r="56" spans="2:14" ht="15.75" x14ac:dyDescent="0.25">
      <c r="B56" s="276" t="s">
        <v>150</v>
      </c>
      <c r="C56" s="7"/>
      <c r="D56" s="7"/>
      <c r="E56" s="7"/>
      <c r="F56" s="7"/>
      <c r="G56" s="7"/>
      <c r="H56" s="7"/>
      <c r="I56" s="7"/>
      <c r="J56" s="7"/>
      <c r="K56" s="7"/>
      <c r="L56" s="7"/>
      <c r="M56" s="7"/>
      <c r="N56" s="7"/>
    </row>
    <row r="57" spans="2:14" ht="15.75" x14ac:dyDescent="0.25">
      <c r="B57" s="276" t="s">
        <v>151</v>
      </c>
      <c r="C57" s="7"/>
      <c r="D57" s="7"/>
      <c r="E57" s="7"/>
      <c r="F57" s="7"/>
      <c r="G57" s="7"/>
      <c r="H57" s="7"/>
      <c r="I57" s="7"/>
      <c r="J57" s="7"/>
      <c r="K57" s="7"/>
      <c r="L57" s="7"/>
      <c r="M57" s="7"/>
      <c r="N57" s="7"/>
    </row>
    <row r="58" spans="2:14" ht="15.75" x14ac:dyDescent="0.25">
      <c r="B58" s="276" t="s">
        <v>152</v>
      </c>
      <c r="C58" s="7"/>
      <c r="D58" s="7"/>
      <c r="E58" s="7"/>
      <c r="F58" s="7"/>
      <c r="G58" s="7"/>
      <c r="H58" s="7"/>
      <c r="I58" s="7"/>
      <c r="J58" s="7"/>
      <c r="K58" s="7"/>
      <c r="L58" s="7"/>
      <c r="M58" s="7"/>
      <c r="N58" s="7"/>
    </row>
    <row r="59" spans="2:14" ht="15.75" x14ac:dyDescent="0.25">
      <c r="B59" s="276" t="s">
        <v>153</v>
      </c>
      <c r="C59" s="7"/>
      <c r="D59" s="7"/>
      <c r="E59" s="7"/>
      <c r="F59" s="7"/>
      <c r="G59" s="7"/>
      <c r="H59" s="7"/>
      <c r="I59" s="7"/>
      <c r="J59" s="7"/>
      <c r="K59" s="7"/>
      <c r="L59" s="7"/>
      <c r="M59" s="7"/>
      <c r="N59" s="7"/>
    </row>
    <row r="60" spans="2:14" ht="15.75" x14ac:dyDescent="0.25">
      <c r="B60" s="276"/>
      <c r="C60" s="7"/>
      <c r="D60" s="7"/>
      <c r="E60" s="7"/>
      <c r="F60" s="7"/>
      <c r="G60" s="7"/>
      <c r="H60" s="7"/>
      <c r="I60" s="7"/>
      <c r="J60" s="7"/>
      <c r="K60" s="7"/>
      <c r="L60" s="7"/>
      <c r="M60" s="7"/>
      <c r="N60" s="7"/>
    </row>
    <row r="61" spans="2:14" ht="15.75" x14ac:dyDescent="0.25">
      <c r="B61" s="276" t="s">
        <v>154</v>
      </c>
      <c r="C61" s="7"/>
      <c r="D61" s="7"/>
      <c r="E61" s="7"/>
      <c r="F61" s="7"/>
      <c r="G61" s="7"/>
      <c r="H61" s="7"/>
      <c r="I61" s="7"/>
      <c r="J61" s="7"/>
      <c r="K61" s="7"/>
      <c r="L61" s="7"/>
      <c r="M61" s="7"/>
      <c r="N61" s="7"/>
    </row>
    <row r="62" spans="2:14" ht="15.75" x14ac:dyDescent="0.25">
      <c r="B62" s="276" t="s">
        <v>155</v>
      </c>
      <c r="C62" s="7"/>
      <c r="D62" s="7"/>
      <c r="E62" s="7"/>
      <c r="F62" s="7"/>
      <c r="G62" s="7"/>
      <c r="H62" s="7"/>
      <c r="I62" s="7"/>
      <c r="J62" s="7"/>
      <c r="K62" s="7"/>
      <c r="L62" s="7"/>
      <c r="M62" s="7"/>
      <c r="N62" s="7"/>
    </row>
    <row r="63" spans="2:14" ht="15.75" x14ac:dyDescent="0.25">
      <c r="B63" s="276" t="s">
        <v>188</v>
      </c>
      <c r="C63" s="7"/>
      <c r="D63" s="7"/>
      <c r="E63" s="7"/>
      <c r="F63" s="7"/>
      <c r="G63" s="7"/>
      <c r="H63" s="7"/>
      <c r="I63" s="7"/>
      <c r="J63" s="7"/>
      <c r="K63" s="7"/>
      <c r="L63" s="7"/>
      <c r="M63" s="7"/>
      <c r="N63" s="7"/>
    </row>
    <row r="64" spans="2:14" ht="15.75" x14ac:dyDescent="0.25">
      <c r="B64" s="276"/>
      <c r="C64" s="7"/>
      <c r="D64" s="7"/>
      <c r="E64" s="7"/>
      <c r="F64" s="7"/>
      <c r="G64" s="7"/>
      <c r="H64" s="7"/>
      <c r="I64" s="7"/>
      <c r="J64" s="7"/>
      <c r="K64" s="7"/>
      <c r="L64" s="7"/>
      <c r="M64" s="7"/>
      <c r="N64" s="7"/>
    </row>
    <row r="65" spans="2:14" ht="15.75" x14ac:dyDescent="0.25">
      <c r="B65" s="281" t="s">
        <v>156</v>
      </c>
      <c r="C65" s="7"/>
      <c r="D65" s="7"/>
      <c r="E65" s="7"/>
      <c r="F65" s="7"/>
      <c r="G65" s="7"/>
      <c r="H65" s="7"/>
      <c r="I65" s="7"/>
      <c r="J65" s="7"/>
      <c r="K65" s="7"/>
      <c r="L65" s="7"/>
      <c r="M65" s="7"/>
      <c r="N65" s="7"/>
    </row>
    <row r="66" spans="2:14" ht="15.75" x14ac:dyDescent="0.25">
      <c r="B66" s="276" t="s">
        <v>157</v>
      </c>
      <c r="C66" s="7"/>
      <c r="D66" s="7"/>
      <c r="E66" s="7"/>
      <c r="F66" s="7"/>
      <c r="G66" s="7"/>
      <c r="H66" s="7"/>
      <c r="I66" s="7"/>
      <c r="J66" s="7"/>
      <c r="K66" s="7"/>
      <c r="L66" s="7"/>
      <c r="M66" s="7"/>
      <c r="N66" s="7"/>
    </row>
    <row r="67" spans="2:14" ht="15.75" x14ac:dyDescent="0.25">
      <c r="B67" s="282" t="s">
        <v>158</v>
      </c>
      <c r="C67" s="7"/>
      <c r="D67" s="7"/>
      <c r="E67" s="7"/>
      <c r="F67" s="7"/>
      <c r="G67" s="7"/>
      <c r="H67" s="7"/>
      <c r="I67" s="7"/>
      <c r="J67" s="7"/>
      <c r="K67" s="7"/>
      <c r="L67" s="7"/>
      <c r="M67" s="7"/>
      <c r="N67" s="7"/>
    </row>
    <row r="68" spans="2:14" ht="15.75" x14ac:dyDescent="0.25">
      <c r="B68" s="282" t="s">
        <v>159</v>
      </c>
      <c r="C68" s="7"/>
      <c r="D68" s="7"/>
      <c r="E68" s="7"/>
      <c r="F68" s="7"/>
      <c r="G68" s="7"/>
      <c r="H68" s="7"/>
      <c r="I68" s="7"/>
      <c r="J68" s="7"/>
      <c r="K68" s="7"/>
      <c r="L68" s="7"/>
      <c r="M68" s="7"/>
      <c r="N68" s="7"/>
    </row>
    <row r="69" spans="2:14" ht="15.75" x14ac:dyDescent="0.25">
      <c r="B69" s="282" t="s">
        <v>160</v>
      </c>
      <c r="C69" s="7"/>
      <c r="D69" s="7"/>
      <c r="E69" s="7"/>
      <c r="F69" s="7"/>
      <c r="G69" s="7"/>
      <c r="H69" s="7"/>
      <c r="I69" s="7"/>
      <c r="J69" s="7"/>
      <c r="K69" s="7"/>
      <c r="L69" s="7"/>
      <c r="M69" s="7"/>
      <c r="N69" s="7"/>
    </row>
    <row r="70" spans="2:14" ht="15.75" x14ac:dyDescent="0.25">
      <c r="B70" s="276"/>
      <c r="C70" s="7"/>
      <c r="D70" s="7"/>
      <c r="E70" s="7"/>
      <c r="F70" s="7"/>
      <c r="G70" s="7"/>
      <c r="H70" s="7"/>
      <c r="I70" s="7"/>
      <c r="J70" s="7"/>
      <c r="K70" s="7"/>
      <c r="L70" s="7"/>
      <c r="M70" s="7"/>
      <c r="N70" s="7"/>
    </row>
    <row r="71" spans="2:14" ht="15.75" x14ac:dyDescent="0.25">
      <c r="B71" s="276" t="s">
        <v>161</v>
      </c>
      <c r="C71" s="7"/>
      <c r="D71" s="7"/>
      <c r="E71" s="7"/>
      <c r="F71" s="7"/>
      <c r="G71" s="7"/>
      <c r="H71" s="7"/>
      <c r="I71" s="7"/>
      <c r="J71" s="7"/>
      <c r="K71" s="7"/>
      <c r="L71" s="7"/>
      <c r="M71" s="7"/>
      <c r="N71" s="7"/>
    </row>
    <row r="72" spans="2:14" ht="15.75" x14ac:dyDescent="0.25">
      <c r="B72" s="276" t="s">
        <v>162</v>
      </c>
      <c r="C72" s="7"/>
      <c r="D72" s="7"/>
      <c r="E72" s="7"/>
      <c r="F72" s="7"/>
      <c r="G72" s="7"/>
      <c r="H72" s="7"/>
      <c r="I72" s="7"/>
      <c r="J72" s="7"/>
      <c r="K72" s="7"/>
      <c r="L72" s="7"/>
      <c r="M72" s="7"/>
      <c r="N72" s="7"/>
    </row>
    <row r="73" spans="2:14" ht="16.5" customHeight="1" x14ac:dyDescent="0.25">
      <c r="B73" s="276" t="s">
        <v>163</v>
      </c>
      <c r="C73" s="7"/>
      <c r="D73" s="7"/>
      <c r="E73" s="7"/>
      <c r="F73" s="7"/>
      <c r="G73" s="7"/>
      <c r="H73" s="7"/>
      <c r="I73" s="7"/>
      <c r="J73" s="7"/>
      <c r="K73" s="7"/>
      <c r="L73" s="7"/>
      <c r="M73" s="7"/>
      <c r="N73" s="7"/>
    </row>
    <row r="74" spans="2:14" ht="15.75" x14ac:dyDescent="0.25">
      <c r="B74" s="276" t="s">
        <v>189</v>
      </c>
      <c r="C74" s="7"/>
      <c r="D74" s="7"/>
      <c r="E74" s="7"/>
      <c r="F74" s="7"/>
      <c r="G74" s="7"/>
      <c r="H74" s="7"/>
      <c r="I74" s="7"/>
      <c r="J74" s="7"/>
      <c r="K74" s="7"/>
      <c r="L74" s="7"/>
      <c r="M74" s="7"/>
      <c r="N74" s="7"/>
    </row>
    <row r="75" spans="2:14" ht="15" customHeight="1" x14ac:dyDescent="0.25">
      <c r="B75" s="276" t="s">
        <v>164</v>
      </c>
      <c r="C75" s="7"/>
      <c r="D75" s="7"/>
      <c r="E75" s="7"/>
      <c r="F75" s="7"/>
      <c r="G75" s="7"/>
      <c r="H75" s="7"/>
      <c r="I75" s="7"/>
      <c r="J75" s="7"/>
      <c r="K75" s="7"/>
      <c r="L75" s="7"/>
      <c r="M75" s="7"/>
      <c r="N75" s="7"/>
    </row>
    <row r="76" spans="2:14" ht="15" customHeight="1" x14ac:dyDescent="0.25">
      <c r="B76" s="276" t="s">
        <v>165</v>
      </c>
      <c r="C76" s="7"/>
      <c r="D76" s="7"/>
      <c r="E76" s="7"/>
      <c r="F76" s="7"/>
      <c r="G76" s="7"/>
      <c r="H76" s="7"/>
      <c r="I76" s="7"/>
      <c r="J76" s="7"/>
      <c r="K76" s="7"/>
      <c r="L76" s="7"/>
      <c r="M76" s="7"/>
      <c r="N76" s="7"/>
    </row>
    <row r="77" spans="2:14" ht="15.75" x14ac:dyDescent="0.25">
      <c r="B77" s="276" t="s">
        <v>166</v>
      </c>
      <c r="C77" s="7"/>
      <c r="D77" s="7"/>
      <c r="E77" s="7"/>
      <c r="F77" s="7"/>
      <c r="G77" s="7"/>
      <c r="H77" s="7"/>
      <c r="I77" s="7"/>
      <c r="J77" s="7"/>
      <c r="K77" s="7"/>
      <c r="L77" s="7"/>
      <c r="M77" s="7"/>
      <c r="N77" s="7"/>
    </row>
    <row r="78" spans="2:14" ht="15.75" x14ac:dyDescent="0.25">
      <c r="B78" s="276" t="s">
        <v>167</v>
      </c>
      <c r="C78" s="7"/>
      <c r="D78" s="7"/>
      <c r="E78" s="7"/>
      <c r="F78" s="7"/>
      <c r="G78" s="7"/>
      <c r="H78" s="7"/>
      <c r="I78" s="7"/>
      <c r="J78" s="7"/>
      <c r="K78" s="7"/>
      <c r="L78" s="7"/>
      <c r="M78" s="7"/>
      <c r="N78" s="7"/>
    </row>
    <row r="79" spans="2:14" ht="15.75" x14ac:dyDescent="0.25">
      <c r="B79" s="276"/>
      <c r="C79" s="7"/>
      <c r="D79" s="7"/>
      <c r="E79" s="7"/>
      <c r="F79" s="7"/>
      <c r="G79" s="7"/>
      <c r="H79" s="7"/>
      <c r="I79" s="7"/>
      <c r="J79" s="7"/>
      <c r="K79" s="7"/>
      <c r="L79" s="7"/>
      <c r="M79" s="7"/>
      <c r="N79" s="7"/>
    </row>
    <row r="80" spans="2:14" ht="15.75" x14ac:dyDescent="0.25">
      <c r="B80" s="276" t="s">
        <v>168</v>
      </c>
      <c r="C80" s="7"/>
      <c r="D80" s="7"/>
      <c r="E80" s="7"/>
      <c r="F80" s="7"/>
      <c r="G80" s="7"/>
      <c r="H80" s="7"/>
      <c r="I80" s="7"/>
      <c r="J80" s="7"/>
      <c r="K80" s="7"/>
      <c r="L80" s="7"/>
      <c r="M80" s="7"/>
      <c r="N80" s="7"/>
    </row>
    <row r="81" spans="1:14" ht="15.75" x14ac:dyDescent="0.25">
      <c r="B81" s="276" t="s">
        <v>169</v>
      </c>
      <c r="C81" s="7"/>
      <c r="D81" s="7"/>
      <c r="G81" s="7"/>
      <c r="H81" s="7"/>
      <c r="I81" s="7"/>
      <c r="J81" s="7"/>
      <c r="K81" s="7"/>
      <c r="L81" s="7"/>
      <c r="M81" s="7"/>
      <c r="N81" s="7"/>
    </row>
    <row r="82" spans="1:14" ht="15.75" x14ac:dyDescent="0.25">
      <c r="B82" s="276" t="s">
        <v>170</v>
      </c>
      <c r="C82" s="7"/>
      <c r="D82" s="7"/>
      <c r="E82" s="4"/>
      <c r="G82" s="7"/>
      <c r="H82" s="7"/>
      <c r="I82" s="7"/>
      <c r="J82" s="7"/>
      <c r="K82" s="7"/>
      <c r="L82" s="7"/>
      <c r="M82" s="7"/>
      <c r="N82" s="7"/>
    </row>
    <row r="83" spans="1:14" ht="15.75" x14ac:dyDescent="0.25">
      <c r="B83" s="276"/>
      <c r="C83" s="7"/>
      <c r="D83" s="7"/>
      <c r="E83" s="4"/>
      <c r="G83" s="7"/>
      <c r="H83" s="7"/>
      <c r="I83" s="7"/>
      <c r="J83" s="7"/>
      <c r="K83" s="7"/>
      <c r="L83" s="7"/>
      <c r="M83" s="7"/>
      <c r="N83" s="7"/>
    </row>
    <row r="84" spans="1:14" ht="15.75" x14ac:dyDescent="0.25">
      <c r="B84" s="280" t="s">
        <v>171</v>
      </c>
      <c r="C84" s="7"/>
      <c r="D84" s="7"/>
      <c r="E84" s="4"/>
      <c r="G84" s="7"/>
      <c r="H84" s="7"/>
      <c r="I84" s="7"/>
      <c r="J84" s="7"/>
      <c r="K84" s="7"/>
      <c r="L84" s="7"/>
      <c r="M84" s="7"/>
      <c r="N84" s="7"/>
    </row>
    <row r="85" spans="1:14" ht="15.75" x14ac:dyDescent="0.25">
      <c r="B85" s="276" t="s">
        <v>172</v>
      </c>
      <c r="C85" s="7"/>
      <c r="D85" s="7"/>
      <c r="E85" s="4"/>
      <c r="F85" s="4"/>
      <c r="G85" s="7"/>
      <c r="H85" s="7"/>
      <c r="I85" s="7"/>
      <c r="J85" s="7"/>
      <c r="K85" s="7"/>
      <c r="L85" s="7"/>
      <c r="M85" s="7"/>
      <c r="N85" s="7"/>
    </row>
    <row r="86" spans="1:14" ht="15.75" x14ac:dyDescent="0.25">
      <c r="B86" s="276" t="s">
        <v>173</v>
      </c>
      <c r="C86" s="7"/>
      <c r="D86" s="7"/>
      <c r="E86" s="4"/>
      <c r="F86" s="4"/>
      <c r="G86" s="7"/>
      <c r="H86" s="7"/>
      <c r="I86" s="7"/>
      <c r="J86" s="7"/>
      <c r="K86" s="7"/>
      <c r="L86" s="7"/>
      <c r="M86" s="7"/>
      <c r="N86" s="7"/>
    </row>
    <row r="87" spans="1:14" ht="15.75" x14ac:dyDescent="0.25">
      <c r="B87" s="276" t="s">
        <v>174</v>
      </c>
      <c r="C87" s="7"/>
      <c r="D87" s="7"/>
      <c r="E87" s="4"/>
      <c r="F87" s="4"/>
      <c r="G87" s="7"/>
      <c r="H87" s="7"/>
      <c r="I87" s="7"/>
      <c r="J87" s="7"/>
      <c r="K87" s="7"/>
      <c r="L87" s="7"/>
      <c r="M87" s="7"/>
      <c r="N87" s="7"/>
    </row>
    <row r="88" spans="1:14" ht="15.75" x14ac:dyDescent="0.25">
      <c r="B88" s="276" t="s">
        <v>190</v>
      </c>
      <c r="C88" s="7"/>
      <c r="D88" s="7"/>
      <c r="E88" s="4"/>
      <c r="F88" s="4"/>
      <c r="G88" s="7"/>
      <c r="H88" s="7"/>
      <c r="I88" s="7"/>
      <c r="J88" s="7"/>
      <c r="K88" s="7"/>
      <c r="L88" s="7"/>
      <c r="M88" s="7"/>
      <c r="N88" s="7"/>
    </row>
    <row r="89" spans="1:14" ht="15.75" x14ac:dyDescent="0.25">
      <c r="B89" s="276"/>
      <c r="C89" s="7"/>
      <c r="D89" s="7"/>
      <c r="E89" s="4"/>
      <c r="F89" s="4"/>
      <c r="G89" s="7"/>
      <c r="H89" s="7"/>
      <c r="I89" s="7"/>
      <c r="J89" s="7"/>
      <c r="K89" s="7"/>
      <c r="L89" s="7"/>
      <c r="M89" s="7"/>
      <c r="N89" s="7"/>
    </row>
    <row r="90" spans="1:14" ht="15.75" x14ac:dyDescent="0.25">
      <c r="B90" s="276"/>
      <c r="C90" s="7"/>
      <c r="D90" s="7"/>
      <c r="E90" s="4"/>
      <c r="F90" s="4"/>
      <c r="G90" s="7"/>
      <c r="H90" s="7"/>
      <c r="I90" s="7"/>
      <c r="J90" s="7"/>
      <c r="K90" s="7"/>
      <c r="L90" s="7"/>
      <c r="M90" s="7"/>
      <c r="N90" s="7"/>
    </row>
    <row r="91" spans="1:14" ht="15.75" x14ac:dyDescent="0.25">
      <c r="A91" s="284" t="s">
        <v>264</v>
      </c>
      <c r="B91" s="276"/>
      <c r="C91" s="7"/>
      <c r="D91" s="7"/>
      <c r="E91" s="4"/>
      <c r="F91" s="4"/>
      <c r="G91" s="7"/>
      <c r="H91" s="7"/>
      <c r="I91" s="7"/>
      <c r="J91" s="7"/>
      <c r="K91" s="7"/>
      <c r="L91" s="7"/>
      <c r="M91" s="7"/>
      <c r="N91" s="7"/>
    </row>
    <row r="92" spans="1:14" ht="15.75" x14ac:dyDescent="0.25">
      <c r="A92" s="284"/>
      <c r="B92" s="276" t="s">
        <v>273</v>
      </c>
      <c r="C92" s="7"/>
      <c r="D92" s="7"/>
      <c r="E92" s="4"/>
      <c r="F92" s="4"/>
      <c r="G92" s="7"/>
      <c r="H92" s="7"/>
      <c r="I92" s="7"/>
      <c r="J92" s="7"/>
      <c r="K92" s="7"/>
      <c r="L92" s="7"/>
      <c r="M92" s="7"/>
      <c r="N92" s="7"/>
    </row>
    <row r="93" spans="1:14" ht="15.75" x14ac:dyDescent="0.25">
      <c r="A93" s="284"/>
      <c r="B93" s="276" t="s">
        <v>265</v>
      </c>
      <c r="C93" s="7"/>
      <c r="D93" s="7"/>
      <c r="E93" s="4"/>
      <c r="F93" s="4"/>
      <c r="G93" s="7"/>
      <c r="H93" s="7"/>
      <c r="I93" s="7"/>
      <c r="J93" s="7"/>
      <c r="K93" s="7"/>
      <c r="L93" s="7"/>
      <c r="M93" s="7"/>
      <c r="N93" s="7"/>
    </row>
    <row r="94" spans="1:14" ht="15.75" x14ac:dyDescent="0.25">
      <c r="A94" s="284"/>
      <c r="B94" s="276" t="s">
        <v>266</v>
      </c>
      <c r="C94" s="7"/>
      <c r="D94" s="7"/>
      <c r="E94" s="4"/>
      <c r="F94" s="4"/>
      <c r="G94" s="7"/>
      <c r="H94" s="7"/>
      <c r="I94" s="7"/>
      <c r="J94" s="7"/>
      <c r="K94" s="7"/>
      <c r="L94" s="7"/>
      <c r="M94" s="7"/>
      <c r="N94" s="7"/>
    </row>
    <row r="95" spans="1:14" ht="15.75" x14ac:dyDescent="0.25">
      <c r="A95" s="284"/>
      <c r="B95" s="276" t="s">
        <v>267</v>
      </c>
      <c r="C95" s="7"/>
      <c r="D95" s="7"/>
      <c r="E95" s="4"/>
      <c r="F95" s="4"/>
      <c r="G95" s="7"/>
      <c r="H95" s="7"/>
      <c r="I95" s="7"/>
      <c r="J95" s="7"/>
      <c r="K95" s="7"/>
      <c r="L95" s="7"/>
      <c r="M95" s="7"/>
      <c r="N95" s="7"/>
    </row>
    <row r="96" spans="1:14" ht="15.75" x14ac:dyDescent="0.25">
      <c r="A96" s="284"/>
      <c r="B96" s="276" t="s">
        <v>274</v>
      </c>
      <c r="C96" s="7"/>
      <c r="D96" s="7"/>
      <c r="E96" s="4"/>
      <c r="F96" s="4"/>
      <c r="G96" s="7"/>
      <c r="H96" s="7"/>
      <c r="I96" s="7"/>
      <c r="J96" s="7"/>
      <c r="K96" s="7"/>
      <c r="L96" s="7"/>
      <c r="M96" s="7"/>
      <c r="N96" s="7"/>
    </row>
    <row r="97" spans="1:31" ht="15.75" x14ac:dyDescent="0.25">
      <c r="B97" s="276"/>
      <c r="C97" s="7"/>
      <c r="D97" s="7"/>
      <c r="E97" s="4"/>
      <c r="F97" s="4"/>
      <c r="G97" s="7"/>
      <c r="H97" s="7"/>
      <c r="I97" s="7"/>
      <c r="J97" s="7"/>
      <c r="K97" s="7"/>
      <c r="L97" s="7"/>
      <c r="M97" s="7"/>
      <c r="N97" s="7"/>
    </row>
    <row r="98" spans="1:31" ht="15.75" x14ac:dyDescent="0.25">
      <c r="A98" s="4"/>
      <c r="B98" s="430"/>
      <c r="C98" s="10"/>
      <c r="D98" s="10"/>
      <c r="E98" s="4"/>
      <c r="F98" s="4"/>
      <c r="G98" s="10"/>
      <c r="H98" s="10"/>
      <c r="I98" s="10"/>
      <c r="J98" s="10"/>
      <c r="K98" s="10"/>
      <c r="L98" s="10"/>
      <c r="M98" s="10"/>
      <c r="N98" s="10"/>
      <c r="O98" s="4"/>
      <c r="P98" s="4"/>
      <c r="Q98" s="4"/>
      <c r="R98" s="4"/>
      <c r="S98" s="4"/>
      <c r="T98" s="4"/>
      <c r="U98" s="4"/>
      <c r="V98" s="4"/>
      <c r="W98" s="4"/>
      <c r="X98" s="4"/>
      <c r="Y98" s="4"/>
      <c r="Z98" s="4"/>
      <c r="AA98" s="4"/>
      <c r="AB98" s="4"/>
      <c r="AC98" s="4"/>
      <c r="AD98" s="4"/>
      <c r="AE98" s="4"/>
    </row>
    <row r="99" spans="1:31" ht="15.75" x14ac:dyDescent="0.25">
      <c r="A99" s="437" t="s">
        <v>230</v>
      </c>
      <c r="B99" s="430"/>
      <c r="C99" s="10"/>
      <c r="D99" s="10"/>
      <c r="E99" s="4"/>
      <c r="F99" s="4"/>
      <c r="G99" s="10"/>
      <c r="H99" s="10"/>
      <c r="I99" s="10"/>
      <c r="J99" s="10"/>
      <c r="K99" s="10"/>
      <c r="L99" s="10"/>
      <c r="M99" s="10"/>
      <c r="N99" s="10"/>
      <c r="O99" s="4"/>
      <c r="P99" s="4"/>
      <c r="Q99" s="4"/>
      <c r="R99" s="4"/>
      <c r="S99" s="4"/>
      <c r="T99" s="4"/>
      <c r="U99" s="4"/>
      <c r="V99" s="4"/>
      <c r="W99" s="4"/>
      <c r="X99" s="4"/>
      <c r="Y99" s="4"/>
      <c r="Z99" s="4"/>
      <c r="AA99" s="4"/>
      <c r="AB99" s="4"/>
      <c r="AC99" s="4"/>
      <c r="AD99" s="4"/>
      <c r="AE99" s="4"/>
    </row>
    <row r="100" spans="1:31" ht="15.75" x14ac:dyDescent="0.25">
      <c r="A100" s="4"/>
      <c r="B100" s="276" t="s">
        <v>270</v>
      </c>
      <c r="C100" s="10"/>
      <c r="D100" s="10"/>
      <c r="E100" s="4"/>
      <c r="F100" s="4"/>
      <c r="G100" s="10"/>
      <c r="H100" s="10"/>
      <c r="I100" s="10"/>
      <c r="J100" s="10"/>
      <c r="K100" s="10"/>
      <c r="L100" s="10"/>
      <c r="M100" s="10"/>
      <c r="N100" s="10"/>
      <c r="O100" s="4"/>
      <c r="P100" s="4"/>
      <c r="Q100" s="4"/>
      <c r="R100" s="4"/>
      <c r="S100" s="4"/>
      <c r="T100" s="4"/>
      <c r="U100" s="4"/>
      <c r="V100" s="4"/>
      <c r="W100" s="4"/>
      <c r="X100" s="4"/>
      <c r="Y100" s="4"/>
      <c r="Z100" s="4"/>
      <c r="AA100" s="4"/>
      <c r="AB100" s="4"/>
      <c r="AC100" s="4"/>
      <c r="AD100" s="4"/>
      <c r="AE100" s="4"/>
    </row>
    <row r="101" spans="1:31" ht="15.75" x14ac:dyDescent="0.25">
      <c r="A101" s="4"/>
      <c r="B101" s="276" t="s">
        <v>251</v>
      </c>
      <c r="C101" s="10"/>
      <c r="D101" s="10"/>
      <c r="E101" s="4"/>
      <c r="F101" s="4"/>
      <c r="G101" s="10"/>
      <c r="H101" s="10"/>
      <c r="I101" s="10"/>
      <c r="J101" s="10"/>
      <c r="K101" s="10"/>
      <c r="L101" s="10"/>
      <c r="M101" s="10"/>
      <c r="N101" s="10"/>
      <c r="O101" s="4"/>
      <c r="P101" s="4"/>
      <c r="Q101" s="4"/>
      <c r="R101" s="4"/>
      <c r="S101" s="4"/>
      <c r="T101" s="4"/>
      <c r="U101" s="4"/>
      <c r="V101" s="4"/>
      <c r="W101" s="4"/>
      <c r="X101" s="4"/>
      <c r="Y101" s="4"/>
      <c r="Z101" s="4"/>
      <c r="AA101" s="4"/>
      <c r="AB101" s="4"/>
      <c r="AC101" s="4"/>
      <c r="AD101" s="4"/>
      <c r="AE101" s="4"/>
    </row>
    <row r="102" spans="1:31" ht="15.75" x14ac:dyDescent="0.25">
      <c r="A102" s="4"/>
      <c r="B102" s="276" t="s">
        <v>252</v>
      </c>
      <c r="C102" s="10"/>
      <c r="D102" s="10"/>
      <c r="E102" s="4"/>
      <c r="F102" s="4"/>
      <c r="G102" s="10"/>
      <c r="H102" s="10"/>
      <c r="I102" s="10"/>
      <c r="J102" s="10"/>
      <c r="K102" s="10"/>
      <c r="L102" s="10"/>
      <c r="M102" s="10"/>
      <c r="N102" s="10"/>
      <c r="O102" s="4"/>
      <c r="P102" s="4"/>
      <c r="Q102" s="4"/>
      <c r="R102" s="4"/>
      <c r="S102" s="4"/>
      <c r="T102" s="4"/>
      <c r="U102" s="4"/>
      <c r="V102" s="4"/>
      <c r="W102" s="4"/>
      <c r="X102" s="4"/>
      <c r="Y102" s="4"/>
      <c r="Z102" s="4"/>
      <c r="AA102" s="4"/>
      <c r="AB102" s="4"/>
      <c r="AC102" s="4"/>
      <c r="AD102" s="4"/>
      <c r="AE102" s="4"/>
    </row>
    <row r="103" spans="1:31" ht="15.75" x14ac:dyDescent="0.25">
      <c r="A103" s="4"/>
      <c r="B103" s="276"/>
      <c r="C103" s="10"/>
      <c r="D103" s="10"/>
      <c r="E103" s="4"/>
      <c r="F103" s="4"/>
      <c r="G103" s="10"/>
      <c r="H103" s="10"/>
      <c r="I103" s="10"/>
      <c r="J103" s="10"/>
      <c r="K103" s="10"/>
      <c r="L103" s="10"/>
      <c r="M103" s="10"/>
      <c r="N103" s="10"/>
      <c r="O103" s="4"/>
      <c r="P103" s="4"/>
      <c r="Q103" s="4"/>
      <c r="R103" s="4"/>
      <c r="S103" s="4"/>
      <c r="T103" s="4"/>
      <c r="U103" s="4"/>
      <c r="V103" s="4"/>
      <c r="W103" s="4"/>
      <c r="X103" s="4"/>
      <c r="Y103" s="4"/>
      <c r="Z103" s="4"/>
      <c r="AA103" s="4"/>
      <c r="AB103" s="4"/>
      <c r="AC103" s="4"/>
      <c r="AD103" s="4"/>
      <c r="AE103" s="4"/>
    </row>
    <row r="104" spans="1:31" ht="15.75" x14ac:dyDescent="0.25">
      <c r="A104" s="4"/>
      <c r="B104" s="276" t="s">
        <v>276</v>
      </c>
      <c r="C104" s="10"/>
      <c r="D104" s="10"/>
      <c r="E104" s="4"/>
      <c r="F104" s="4"/>
      <c r="G104" s="10"/>
      <c r="H104" s="10"/>
      <c r="I104" s="10"/>
      <c r="J104" s="10"/>
      <c r="K104" s="10"/>
      <c r="L104" s="10"/>
      <c r="M104" s="10"/>
      <c r="N104" s="10"/>
      <c r="O104" s="4"/>
      <c r="P104" s="4"/>
      <c r="Q104" s="4"/>
      <c r="R104" s="4"/>
      <c r="S104" s="4"/>
      <c r="T104" s="4"/>
      <c r="U104" s="4"/>
      <c r="V104" s="4"/>
      <c r="W104" s="4"/>
      <c r="X104" s="4"/>
      <c r="Y104" s="4"/>
      <c r="Z104" s="4"/>
      <c r="AA104" s="4"/>
      <c r="AB104" s="4"/>
      <c r="AC104" s="4"/>
      <c r="AD104" s="4"/>
      <c r="AE104" s="4"/>
    </row>
    <row r="105" spans="1:31" ht="15.75" x14ac:dyDescent="0.25">
      <c r="A105" s="4"/>
      <c r="B105" s="276"/>
      <c r="C105" s="10"/>
      <c r="D105" s="10"/>
      <c r="E105" s="4"/>
      <c r="F105" s="4"/>
      <c r="G105" s="10"/>
      <c r="H105" s="10"/>
      <c r="I105" s="10"/>
      <c r="J105" s="10"/>
      <c r="K105" s="10"/>
      <c r="L105" s="10"/>
      <c r="M105" s="10"/>
      <c r="N105" s="10"/>
      <c r="O105" s="4"/>
      <c r="P105" s="4"/>
      <c r="Q105" s="4"/>
      <c r="R105" s="4"/>
      <c r="S105" s="4"/>
      <c r="T105" s="4"/>
      <c r="U105" s="4"/>
      <c r="V105" s="4"/>
      <c r="W105" s="4"/>
      <c r="X105" s="4"/>
      <c r="Y105" s="4"/>
      <c r="Z105" s="4"/>
      <c r="AA105" s="4"/>
      <c r="AB105" s="4"/>
      <c r="AC105" s="4"/>
      <c r="AD105" s="4"/>
      <c r="AE105" s="4"/>
    </row>
    <row r="106" spans="1:31" ht="15.75" x14ac:dyDescent="0.25">
      <c r="A106" s="4"/>
      <c r="B106" s="276" t="s">
        <v>275</v>
      </c>
      <c r="C106" s="10"/>
      <c r="D106" s="10"/>
      <c r="E106" s="4"/>
      <c r="F106" s="4"/>
      <c r="G106" s="10"/>
      <c r="H106" s="10"/>
      <c r="I106" s="10"/>
      <c r="J106" s="10"/>
      <c r="K106" s="10"/>
      <c r="L106" s="10"/>
      <c r="M106" s="10"/>
      <c r="N106" s="10"/>
      <c r="O106" s="4"/>
      <c r="P106" s="4"/>
      <c r="Q106" s="4"/>
      <c r="R106" s="4"/>
      <c r="S106" s="4"/>
      <c r="T106" s="4"/>
      <c r="U106" s="4"/>
      <c r="V106" s="4"/>
      <c r="W106" s="4"/>
      <c r="X106" s="4"/>
      <c r="Y106" s="4"/>
      <c r="Z106" s="4"/>
      <c r="AA106" s="4"/>
      <c r="AB106" s="4"/>
      <c r="AC106" s="4"/>
      <c r="AD106" s="4"/>
      <c r="AE106" s="4"/>
    </row>
    <row r="107" spans="1:31" ht="15.75" x14ac:dyDescent="0.25">
      <c r="A107" s="4"/>
      <c r="B107" s="276" t="s">
        <v>253</v>
      </c>
      <c r="C107" s="10"/>
      <c r="D107" s="10"/>
      <c r="E107" s="4"/>
      <c r="F107" s="4"/>
      <c r="G107" s="10"/>
      <c r="H107" s="10"/>
      <c r="I107" s="10"/>
      <c r="J107" s="10"/>
      <c r="K107" s="10"/>
      <c r="L107" s="10"/>
      <c r="M107" s="10"/>
      <c r="N107" s="10"/>
      <c r="O107" s="4"/>
      <c r="P107" s="4"/>
      <c r="Q107" s="4"/>
      <c r="R107" s="4"/>
      <c r="S107" s="4"/>
      <c r="T107" s="4"/>
      <c r="U107" s="4"/>
      <c r="V107" s="4"/>
      <c r="W107" s="4"/>
      <c r="X107" s="4"/>
      <c r="Y107" s="4"/>
      <c r="Z107" s="4"/>
      <c r="AA107" s="4"/>
      <c r="AB107" s="4"/>
      <c r="AC107" s="4"/>
      <c r="AD107" s="4"/>
      <c r="AE107" s="4"/>
    </row>
    <row r="108" spans="1:31" ht="15.75" x14ac:dyDescent="0.25">
      <c r="A108" s="4"/>
      <c r="B108" s="276" t="s">
        <v>231</v>
      </c>
      <c r="C108" s="10"/>
      <c r="D108" s="10"/>
      <c r="E108" s="4"/>
      <c r="F108" s="4"/>
      <c r="G108" s="10"/>
      <c r="H108" s="10"/>
      <c r="I108" s="10"/>
      <c r="J108" s="10"/>
      <c r="K108" s="10"/>
      <c r="L108" s="10"/>
      <c r="M108" s="10"/>
      <c r="N108" s="10"/>
      <c r="O108" s="4"/>
      <c r="P108" s="4"/>
      <c r="Q108" s="4"/>
      <c r="R108" s="4"/>
      <c r="S108" s="4"/>
      <c r="T108" s="4"/>
      <c r="U108" s="4"/>
      <c r="V108" s="4"/>
      <c r="W108" s="4"/>
      <c r="X108" s="4"/>
      <c r="Y108" s="4"/>
      <c r="Z108" s="4"/>
      <c r="AA108" s="4"/>
      <c r="AB108" s="4"/>
      <c r="AC108" s="4"/>
      <c r="AD108" s="4"/>
      <c r="AE108" s="4"/>
    </row>
    <row r="109" spans="1:31" ht="15.75" x14ac:dyDescent="0.25">
      <c r="A109" s="4"/>
      <c r="B109" s="276"/>
      <c r="C109" s="10"/>
      <c r="D109" s="10"/>
      <c r="E109" s="4"/>
      <c r="F109" s="4"/>
      <c r="G109" s="10"/>
      <c r="H109" s="10"/>
      <c r="I109" s="10"/>
      <c r="J109" s="10"/>
      <c r="K109" s="10"/>
      <c r="L109" s="10"/>
      <c r="M109" s="10"/>
      <c r="N109" s="10"/>
      <c r="O109" s="4"/>
      <c r="P109" s="4"/>
      <c r="Q109" s="4"/>
      <c r="R109" s="4"/>
      <c r="S109" s="4"/>
      <c r="T109" s="4"/>
      <c r="U109" s="4"/>
      <c r="V109" s="4"/>
      <c r="W109" s="4"/>
      <c r="X109" s="4"/>
      <c r="Y109" s="4"/>
      <c r="Z109" s="4"/>
      <c r="AA109" s="4"/>
      <c r="AB109" s="4"/>
      <c r="AC109" s="4"/>
      <c r="AD109" s="4"/>
      <c r="AE109" s="4"/>
    </row>
    <row r="110" spans="1:31" ht="15.75" x14ac:dyDescent="0.25">
      <c r="A110" s="4"/>
      <c r="B110" s="280" t="s">
        <v>254</v>
      </c>
      <c r="C110" s="10"/>
      <c r="D110" s="10"/>
      <c r="E110" s="4"/>
      <c r="F110" s="4"/>
      <c r="G110" s="10"/>
      <c r="H110" s="10"/>
      <c r="I110" s="10"/>
      <c r="J110" s="10"/>
      <c r="K110" s="10"/>
      <c r="L110" s="10"/>
      <c r="M110" s="10"/>
      <c r="N110" s="10"/>
      <c r="O110" s="4"/>
      <c r="P110" s="4"/>
      <c r="Q110" s="4"/>
      <c r="R110" s="4"/>
      <c r="S110" s="4"/>
      <c r="T110" s="4"/>
      <c r="U110" s="4"/>
      <c r="V110" s="4"/>
      <c r="W110" s="4"/>
      <c r="X110" s="4"/>
      <c r="Y110" s="4"/>
      <c r="Z110" s="4"/>
      <c r="AA110" s="4"/>
      <c r="AB110" s="4"/>
      <c r="AC110" s="4"/>
      <c r="AD110" s="4"/>
      <c r="AE110" s="4"/>
    </row>
    <row r="111" spans="1:31" ht="15.75" x14ac:dyDescent="0.25">
      <c r="A111" s="4"/>
      <c r="B111" s="276" t="s">
        <v>255</v>
      </c>
      <c r="C111" s="10"/>
      <c r="D111" s="10"/>
      <c r="E111" s="4"/>
      <c r="F111" s="4"/>
      <c r="G111" s="10"/>
      <c r="H111" s="10"/>
      <c r="I111" s="10"/>
      <c r="J111" s="10"/>
      <c r="K111" s="10"/>
      <c r="L111" s="10"/>
      <c r="M111" s="10"/>
      <c r="N111" s="10"/>
      <c r="O111" s="4"/>
      <c r="P111" s="4"/>
      <c r="Q111" s="4"/>
      <c r="R111" s="4"/>
      <c r="S111" s="4"/>
      <c r="T111" s="4"/>
      <c r="U111" s="4"/>
      <c r="V111" s="4"/>
      <c r="W111" s="4"/>
      <c r="X111" s="4"/>
      <c r="Y111" s="4"/>
      <c r="Z111" s="4"/>
      <c r="AA111" s="4"/>
      <c r="AB111" s="4"/>
      <c r="AC111" s="4"/>
      <c r="AD111" s="4"/>
      <c r="AE111" s="4"/>
    </row>
    <row r="112" spans="1:31" ht="15.75" x14ac:dyDescent="0.25">
      <c r="A112" s="4"/>
      <c r="B112" s="276" t="s">
        <v>232</v>
      </c>
      <c r="C112" s="10"/>
      <c r="D112" s="10"/>
      <c r="E112" s="4"/>
      <c r="F112" s="4"/>
      <c r="G112" s="10"/>
      <c r="H112" s="10"/>
      <c r="I112" s="10"/>
      <c r="J112" s="10"/>
      <c r="K112" s="10"/>
      <c r="L112" s="10"/>
      <c r="M112" s="10"/>
      <c r="N112" s="10"/>
      <c r="O112" s="4"/>
      <c r="P112" s="4"/>
      <c r="Q112" s="4"/>
      <c r="R112" s="4"/>
      <c r="S112" s="4"/>
      <c r="T112" s="4"/>
      <c r="U112" s="4"/>
      <c r="V112" s="4"/>
      <c r="W112" s="4"/>
      <c r="X112" s="4"/>
      <c r="Y112" s="4"/>
      <c r="Z112" s="4"/>
      <c r="AA112" s="4"/>
      <c r="AB112" s="4"/>
      <c r="AC112" s="4"/>
      <c r="AD112" s="4"/>
      <c r="AE112" s="4"/>
    </row>
    <row r="113" spans="1:31" ht="15.75" x14ac:dyDescent="0.25">
      <c r="A113" s="4"/>
      <c r="B113" s="276" t="s">
        <v>256</v>
      </c>
      <c r="C113" s="10"/>
      <c r="D113" s="10"/>
      <c r="E113" s="4"/>
      <c r="F113" s="4"/>
      <c r="G113" s="10"/>
      <c r="H113" s="10"/>
      <c r="I113" s="10"/>
      <c r="J113" s="10"/>
      <c r="K113" s="10"/>
      <c r="L113" s="10"/>
      <c r="M113" s="10"/>
      <c r="N113" s="10"/>
      <c r="O113" s="4"/>
      <c r="P113" s="4"/>
      <c r="Q113" s="4"/>
      <c r="R113" s="4"/>
      <c r="S113" s="4"/>
      <c r="T113" s="4"/>
      <c r="U113" s="4"/>
      <c r="V113" s="4"/>
      <c r="W113" s="4"/>
      <c r="X113" s="4"/>
      <c r="Y113" s="4"/>
      <c r="Z113" s="4"/>
      <c r="AA113" s="4"/>
      <c r="AB113" s="4"/>
      <c r="AC113" s="4"/>
      <c r="AD113" s="4"/>
      <c r="AE113" s="4"/>
    </row>
    <row r="114" spans="1:31" ht="15.75" x14ac:dyDescent="0.25">
      <c r="A114" s="4"/>
      <c r="B114" s="276"/>
      <c r="C114" s="10"/>
      <c r="D114" s="10"/>
      <c r="E114" s="4"/>
      <c r="F114" s="4"/>
      <c r="G114" s="10"/>
      <c r="H114" s="10"/>
      <c r="I114" s="10"/>
      <c r="J114" s="10"/>
      <c r="K114" s="10"/>
      <c r="L114" s="10"/>
      <c r="M114" s="10"/>
      <c r="N114" s="10"/>
      <c r="O114" s="4"/>
      <c r="P114" s="4"/>
      <c r="Q114" s="4"/>
      <c r="R114" s="4"/>
      <c r="S114" s="4"/>
      <c r="T114" s="4"/>
      <c r="U114" s="4"/>
      <c r="V114" s="4"/>
      <c r="W114" s="4"/>
      <c r="X114" s="4"/>
      <c r="Y114" s="4"/>
      <c r="Z114" s="4"/>
      <c r="AA114" s="4"/>
      <c r="AB114" s="4"/>
      <c r="AC114" s="4"/>
      <c r="AD114" s="4"/>
      <c r="AE114" s="4"/>
    </row>
    <row r="115" spans="1:31" ht="15.75" x14ac:dyDescent="0.25">
      <c r="A115" s="4"/>
      <c r="B115" s="430"/>
      <c r="C115" s="10"/>
      <c r="D115" s="10"/>
      <c r="E115" s="4"/>
      <c r="F115" s="4"/>
      <c r="G115" s="10"/>
      <c r="H115" s="10"/>
      <c r="I115" s="10"/>
      <c r="J115" s="10"/>
      <c r="K115" s="10"/>
      <c r="L115" s="10"/>
      <c r="M115" s="10"/>
      <c r="N115" s="10"/>
      <c r="O115" s="4"/>
      <c r="P115" s="4"/>
      <c r="Q115" s="4"/>
      <c r="R115" s="4"/>
      <c r="S115" s="4"/>
      <c r="T115" s="4"/>
      <c r="U115" s="4"/>
      <c r="V115" s="4"/>
      <c r="W115" s="4"/>
      <c r="X115" s="4"/>
      <c r="Y115" s="4"/>
      <c r="Z115" s="4"/>
      <c r="AA115" s="4"/>
      <c r="AB115" s="4"/>
      <c r="AC115" s="4"/>
      <c r="AD115" s="4"/>
      <c r="AE115" s="4"/>
    </row>
    <row r="116" spans="1:31" ht="15.75" x14ac:dyDescent="0.25">
      <c r="A116" s="437" t="s">
        <v>269</v>
      </c>
      <c r="B116" s="430"/>
      <c r="C116" s="10"/>
      <c r="D116" s="10"/>
      <c r="E116" s="4"/>
      <c r="F116" s="4"/>
      <c r="G116" s="10"/>
      <c r="H116" s="10"/>
      <c r="I116" s="10"/>
      <c r="J116" s="10"/>
      <c r="K116" s="10"/>
      <c r="L116" s="10"/>
      <c r="M116" s="10"/>
      <c r="N116" s="10"/>
      <c r="O116" s="4"/>
      <c r="P116" s="4"/>
      <c r="Q116" s="4"/>
      <c r="R116" s="4"/>
      <c r="S116" s="4"/>
      <c r="T116" s="4"/>
      <c r="U116" s="4"/>
      <c r="V116" s="4"/>
      <c r="W116" s="4"/>
      <c r="X116" s="4"/>
      <c r="Y116" s="4"/>
      <c r="Z116" s="4"/>
      <c r="AA116" s="4"/>
      <c r="AB116" s="4"/>
      <c r="AC116" s="4"/>
      <c r="AD116" s="4"/>
      <c r="AE116" s="4"/>
    </row>
    <row r="117" spans="1:31" ht="15.75" x14ac:dyDescent="0.25">
      <c r="A117" s="4"/>
      <c r="B117" s="276" t="s">
        <v>271</v>
      </c>
      <c r="C117" s="10"/>
      <c r="D117" s="10"/>
      <c r="E117" s="4"/>
      <c r="F117" s="4"/>
      <c r="G117" s="10"/>
      <c r="H117" s="10"/>
      <c r="I117" s="10"/>
      <c r="J117" s="10"/>
      <c r="K117" s="10"/>
      <c r="L117" s="10"/>
      <c r="M117" s="10"/>
      <c r="N117" s="10"/>
      <c r="O117" s="4"/>
      <c r="P117" s="4"/>
      <c r="Q117" s="4"/>
      <c r="R117" s="4"/>
      <c r="S117" s="4"/>
      <c r="T117" s="4"/>
      <c r="U117" s="4"/>
      <c r="V117" s="4"/>
      <c r="W117" s="4"/>
      <c r="X117" s="4"/>
      <c r="Y117" s="4"/>
      <c r="Z117" s="4"/>
      <c r="AA117" s="4"/>
      <c r="AB117" s="4"/>
      <c r="AC117" s="4"/>
      <c r="AD117" s="4"/>
      <c r="AE117" s="4"/>
    </row>
    <row r="118" spans="1:31" ht="15.75" x14ac:dyDescent="0.25">
      <c r="A118" s="4"/>
      <c r="B118" s="276" t="s">
        <v>233</v>
      </c>
      <c r="C118" s="10"/>
      <c r="D118" s="10"/>
      <c r="E118" s="4"/>
      <c r="F118" s="4"/>
      <c r="G118" s="10"/>
      <c r="H118" s="10"/>
      <c r="I118" s="10"/>
      <c r="J118" s="10"/>
      <c r="K118" s="10"/>
      <c r="L118" s="10"/>
      <c r="M118" s="10"/>
      <c r="N118" s="10"/>
      <c r="O118" s="4"/>
      <c r="P118" s="4"/>
      <c r="Q118" s="4"/>
      <c r="R118" s="4"/>
      <c r="S118" s="4"/>
      <c r="T118" s="4"/>
      <c r="U118" s="4"/>
      <c r="V118" s="4"/>
      <c r="W118" s="4"/>
      <c r="X118" s="4"/>
      <c r="Y118" s="4"/>
      <c r="Z118" s="4"/>
      <c r="AA118" s="4"/>
      <c r="AB118" s="4"/>
      <c r="AC118" s="4"/>
      <c r="AD118" s="4"/>
      <c r="AE118" s="4"/>
    </row>
    <row r="119" spans="1:31" ht="15.75" x14ac:dyDescent="0.25">
      <c r="A119" s="4"/>
      <c r="B119" s="276" t="s">
        <v>234</v>
      </c>
      <c r="C119" s="10"/>
      <c r="D119" s="10"/>
      <c r="E119" s="4"/>
      <c r="F119" s="4"/>
      <c r="G119" s="10"/>
      <c r="H119" s="10"/>
      <c r="I119" s="10"/>
      <c r="J119" s="10"/>
      <c r="K119" s="10"/>
      <c r="L119" s="10"/>
      <c r="M119" s="10"/>
      <c r="N119" s="10"/>
      <c r="O119" s="4"/>
      <c r="P119" s="4"/>
      <c r="Q119" s="4"/>
      <c r="R119" s="4"/>
      <c r="S119" s="4"/>
      <c r="T119" s="4"/>
      <c r="U119" s="4"/>
      <c r="V119" s="4"/>
      <c r="W119" s="4"/>
      <c r="X119" s="4"/>
      <c r="Y119" s="4"/>
      <c r="Z119" s="4"/>
      <c r="AA119" s="4"/>
      <c r="AB119" s="4"/>
      <c r="AC119" s="4"/>
      <c r="AD119" s="4"/>
      <c r="AE119" s="4"/>
    </row>
    <row r="120" spans="1:31" ht="15.75" x14ac:dyDescent="0.25">
      <c r="A120" s="4"/>
      <c r="B120" s="276" t="s">
        <v>257</v>
      </c>
      <c r="C120" s="10"/>
      <c r="D120" s="10"/>
      <c r="E120" s="4"/>
      <c r="F120" s="4"/>
      <c r="G120" s="10"/>
      <c r="H120" s="10"/>
      <c r="I120" s="10"/>
      <c r="J120" s="10"/>
      <c r="K120" s="10"/>
      <c r="L120" s="10"/>
      <c r="M120" s="10"/>
      <c r="N120" s="10"/>
      <c r="O120" s="4"/>
      <c r="P120" s="4"/>
      <c r="Q120" s="4"/>
      <c r="R120" s="4"/>
      <c r="S120" s="4"/>
      <c r="T120" s="4"/>
      <c r="U120" s="4"/>
      <c r="V120" s="4"/>
      <c r="W120" s="4"/>
      <c r="X120" s="4"/>
      <c r="Y120" s="4"/>
      <c r="Z120" s="4"/>
      <c r="AA120" s="4"/>
      <c r="AB120" s="4"/>
      <c r="AC120" s="4"/>
      <c r="AD120" s="4"/>
      <c r="AE120" s="4"/>
    </row>
    <row r="121" spans="1:31" ht="15.75" x14ac:dyDescent="0.25">
      <c r="A121" s="4"/>
      <c r="B121" s="276"/>
      <c r="C121" s="10"/>
      <c r="D121" s="10"/>
      <c r="E121" s="4"/>
      <c r="F121" s="4"/>
      <c r="G121" s="10"/>
      <c r="H121" s="10"/>
      <c r="I121" s="10"/>
      <c r="J121" s="10"/>
      <c r="K121" s="10"/>
      <c r="L121" s="10"/>
      <c r="M121" s="10"/>
      <c r="N121" s="10"/>
      <c r="O121" s="4"/>
      <c r="P121" s="4"/>
      <c r="Q121" s="4"/>
      <c r="R121" s="4"/>
      <c r="S121" s="4"/>
      <c r="T121" s="4"/>
      <c r="U121" s="4"/>
      <c r="V121" s="4"/>
      <c r="W121" s="4"/>
      <c r="X121" s="4"/>
      <c r="Y121" s="4"/>
      <c r="Z121" s="4"/>
      <c r="AA121" s="4"/>
      <c r="AB121" s="4"/>
      <c r="AC121" s="4"/>
      <c r="AD121" s="4"/>
      <c r="AE121" s="4"/>
    </row>
    <row r="122" spans="1:31" ht="15.75" x14ac:dyDescent="0.25">
      <c r="A122" s="4"/>
      <c r="B122" s="280" t="s">
        <v>258</v>
      </c>
      <c r="C122" s="10"/>
      <c r="D122" s="10"/>
      <c r="E122" s="4"/>
      <c r="F122" s="4"/>
      <c r="G122" s="10"/>
      <c r="H122" s="10"/>
      <c r="I122" s="10"/>
      <c r="J122" s="10"/>
      <c r="K122" s="10"/>
      <c r="L122" s="10"/>
      <c r="M122" s="10"/>
      <c r="N122" s="10"/>
      <c r="O122" s="4"/>
      <c r="P122" s="4"/>
      <c r="Q122" s="4"/>
      <c r="R122" s="4"/>
      <c r="S122" s="4"/>
      <c r="T122" s="4"/>
      <c r="U122" s="4"/>
      <c r="V122" s="4"/>
      <c r="W122" s="4"/>
      <c r="X122" s="4"/>
      <c r="Y122" s="4"/>
      <c r="Z122" s="4"/>
      <c r="AA122" s="4"/>
      <c r="AB122" s="4"/>
      <c r="AC122" s="4"/>
      <c r="AD122" s="4"/>
      <c r="AE122" s="4"/>
    </row>
    <row r="123" spans="1:31" ht="15.75" x14ac:dyDescent="0.25">
      <c r="A123" s="4"/>
      <c r="B123" s="276" t="s">
        <v>259</v>
      </c>
      <c r="C123" s="10"/>
      <c r="D123" s="10"/>
      <c r="E123" s="4"/>
      <c r="F123" s="4"/>
      <c r="G123" s="10"/>
      <c r="H123" s="10"/>
      <c r="I123" s="10"/>
      <c r="J123" s="10"/>
      <c r="K123" s="10"/>
      <c r="L123" s="10"/>
      <c r="M123" s="10"/>
      <c r="N123" s="10"/>
      <c r="O123" s="4"/>
      <c r="P123" s="4"/>
      <c r="Q123" s="4"/>
      <c r="R123" s="4"/>
      <c r="S123" s="4"/>
      <c r="T123" s="4"/>
      <c r="U123" s="4"/>
      <c r="V123" s="4"/>
      <c r="W123" s="4"/>
      <c r="X123" s="4"/>
      <c r="Y123" s="4"/>
      <c r="Z123" s="4"/>
      <c r="AA123" s="4"/>
      <c r="AB123" s="4"/>
      <c r="AC123" s="4"/>
      <c r="AD123" s="4"/>
      <c r="AE123" s="4"/>
    </row>
    <row r="124" spans="1:31" ht="15.75" x14ac:dyDescent="0.25">
      <c r="A124" s="4"/>
      <c r="B124" s="276"/>
      <c r="C124" s="10"/>
      <c r="D124" s="10"/>
      <c r="E124" s="4"/>
      <c r="F124" s="4"/>
      <c r="G124" s="10"/>
      <c r="H124" s="10"/>
      <c r="I124" s="10"/>
      <c r="J124" s="10"/>
      <c r="K124" s="10"/>
      <c r="L124" s="10"/>
      <c r="M124" s="10"/>
      <c r="N124" s="10"/>
      <c r="O124" s="4"/>
      <c r="P124" s="4"/>
      <c r="Q124" s="4"/>
      <c r="R124" s="4"/>
      <c r="S124" s="4"/>
      <c r="T124" s="4"/>
      <c r="U124" s="4"/>
      <c r="V124" s="4"/>
      <c r="W124" s="4"/>
      <c r="X124" s="4"/>
      <c r="Y124" s="4"/>
      <c r="Z124" s="4"/>
      <c r="AA124" s="4"/>
      <c r="AB124" s="4"/>
      <c r="AC124" s="4"/>
      <c r="AD124" s="4"/>
      <c r="AE124" s="4"/>
    </row>
    <row r="125" spans="1:31" ht="15.75" x14ac:dyDescent="0.25">
      <c r="A125" s="4"/>
      <c r="B125" s="280" t="s">
        <v>260</v>
      </c>
      <c r="C125" s="4"/>
      <c r="D125" s="4"/>
      <c r="E125" s="4"/>
      <c r="F125" s="4"/>
      <c r="G125" s="10"/>
      <c r="H125" s="10"/>
      <c r="I125" s="10"/>
      <c r="J125" s="10"/>
      <c r="K125" s="10"/>
      <c r="L125" s="10"/>
      <c r="M125" s="10"/>
      <c r="N125" s="10"/>
      <c r="O125" s="4"/>
      <c r="P125" s="4"/>
      <c r="Q125" s="4"/>
      <c r="R125" s="4"/>
      <c r="S125" s="4"/>
      <c r="T125" s="4"/>
      <c r="U125" s="4"/>
      <c r="V125" s="4"/>
      <c r="W125" s="4"/>
      <c r="X125" s="4"/>
      <c r="Y125" s="4"/>
      <c r="Z125" s="4"/>
      <c r="AA125" s="4"/>
      <c r="AB125" s="4"/>
      <c r="AC125" s="4"/>
      <c r="AD125" s="4"/>
      <c r="AE125" s="4"/>
    </row>
    <row r="126" spans="1:31" ht="15.75" x14ac:dyDescent="0.25">
      <c r="A126" s="4"/>
      <c r="B126" s="280"/>
      <c r="C126" s="4"/>
      <c r="D126" s="4"/>
      <c r="E126" s="4"/>
      <c r="F126" s="4"/>
      <c r="G126" s="10"/>
      <c r="H126" s="10"/>
      <c r="I126" s="10"/>
      <c r="J126" s="10"/>
      <c r="K126" s="10"/>
      <c r="L126" s="10"/>
      <c r="M126" s="10"/>
      <c r="N126" s="10"/>
      <c r="O126" s="4"/>
      <c r="P126" s="4"/>
      <c r="Q126" s="4"/>
      <c r="R126" s="4"/>
      <c r="S126" s="4"/>
      <c r="T126" s="4"/>
      <c r="U126" s="4"/>
      <c r="V126" s="4"/>
      <c r="W126" s="4"/>
      <c r="X126" s="4"/>
      <c r="Y126" s="4"/>
      <c r="Z126" s="4"/>
      <c r="AA126" s="4"/>
      <c r="AB126" s="4"/>
      <c r="AC126" s="4"/>
      <c r="AD126" s="4"/>
      <c r="AE126" s="4"/>
    </row>
    <row r="127" spans="1:31" ht="15.75" x14ac:dyDescent="0.25">
      <c r="A127" s="4"/>
      <c r="B127" s="280" t="s">
        <v>261</v>
      </c>
      <c r="C127" s="4"/>
      <c r="D127" s="4"/>
      <c r="E127" s="4"/>
      <c r="F127" s="4"/>
      <c r="G127" s="10"/>
      <c r="H127" s="10"/>
      <c r="I127" s="10"/>
      <c r="J127" s="10"/>
      <c r="K127" s="10"/>
      <c r="L127" s="10"/>
      <c r="M127" s="10"/>
      <c r="N127" s="10"/>
      <c r="O127" s="4"/>
      <c r="P127" s="4"/>
      <c r="Q127" s="4"/>
      <c r="R127" s="4"/>
      <c r="S127" s="4"/>
      <c r="T127" s="4"/>
      <c r="U127" s="4"/>
      <c r="V127" s="4"/>
      <c r="W127" s="4"/>
      <c r="X127" s="4"/>
      <c r="Y127" s="4"/>
      <c r="Z127" s="4"/>
      <c r="AA127" s="4"/>
      <c r="AB127" s="4"/>
      <c r="AC127" s="4"/>
      <c r="AD127" s="4"/>
      <c r="AE127" s="4"/>
    </row>
    <row r="128" spans="1:31" ht="15.75" x14ac:dyDescent="0.25">
      <c r="A128" s="4"/>
      <c r="B128" s="276" t="s">
        <v>262</v>
      </c>
      <c r="C128" s="4"/>
      <c r="D128" s="4"/>
      <c r="E128" s="4"/>
      <c r="F128" s="4"/>
      <c r="G128" s="10"/>
      <c r="H128" s="10"/>
      <c r="I128" s="10"/>
      <c r="J128" s="10"/>
      <c r="K128" s="10"/>
      <c r="L128" s="10"/>
      <c r="M128" s="10"/>
      <c r="N128" s="10"/>
      <c r="O128" s="4"/>
      <c r="P128" s="4"/>
      <c r="Q128" s="4"/>
      <c r="R128" s="4"/>
      <c r="S128" s="4"/>
      <c r="T128" s="4"/>
      <c r="U128" s="4"/>
      <c r="V128" s="4"/>
      <c r="W128" s="4"/>
      <c r="X128" s="4"/>
      <c r="Y128" s="4"/>
      <c r="Z128" s="4"/>
      <c r="AA128" s="4"/>
      <c r="AB128" s="4"/>
      <c r="AC128" s="4"/>
      <c r="AD128" s="4"/>
      <c r="AE128" s="4"/>
    </row>
    <row r="129" spans="1:31" ht="15.75" x14ac:dyDescent="0.25">
      <c r="A129" s="4"/>
      <c r="B129" s="276" t="s">
        <v>263</v>
      </c>
      <c r="C129" s="4"/>
      <c r="D129" s="4"/>
      <c r="E129" s="4"/>
      <c r="F129" s="4"/>
      <c r="G129" s="10"/>
      <c r="H129" s="10"/>
      <c r="I129" s="10"/>
      <c r="J129" s="10"/>
      <c r="K129" s="10"/>
      <c r="L129" s="10"/>
      <c r="M129" s="10"/>
      <c r="N129" s="10"/>
      <c r="O129" s="4"/>
      <c r="P129" s="4"/>
      <c r="Q129" s="4"/>
      <c r="R129" s="4"/>
      <c r="S129" s="4"/>
      <c r="T129" s="4"/>
      <c r="U129" s="4"/>
      <c r="V129" s="4"/>
      <c r="W129" s="4"/>
      <c r="X129" s="4"/>
      <c r="Y129" s="4"/>
      <c r="Z129" s="4"/>
      <c r="AA129" s="4"/>
      <c r="AB129" s="4"/>
      <c r="AC129" s="4"/>
      <c r="AD129" s="4"/>
      <c r="AE129" s="4"/>
    </row>
    <row r="130" spans="1:31" ht="15.75" x14ac:dyDescent="0.25">
      <c r="A130" s="4"/>
      <c r="B130" s="276" t="s">
        <v>235</v>
      </c>
      <c r="C130" s="4"/>
      <c r="D130" s="4"/>
      <c r="E130" s="4"/>
      <c r="F130" s="4"/>
      <c r="G130" s="10"/>
      <c r="H130" s="10"/>
      <c r="I130" s="10"/>
      <c r="J130" s="10"/>
      <c r="K130" s="10"/>
      <c r="L130" s="10"/>
      <c r="M130" s="10"/>
      <c r="N130" s="10"/>
      <c r="O130" s="4"/>
      <c r="P130" s="4"/>
      <c r="Q130" s="4"/>
      <c r="R130" s="4"/>
      <c r="S130" s="4"/>
      <c r="T130" s="4"/>
      <c r="U130" s="4"/>
      <c r="V130" s="4"/>
      <c r="W130" s="4"/>
      <c r="X130" s="4"/>
      <c r="Y130" s="4"/>
      <c r="Z130" s="4"/>
      <c r="AA130" s="4"/>
      <c r="AB130" s="4"/>
      <c r="AC130" s="4"/>
      <c r="AD130" s="4"/>
      <c r="AE130" s="4"/>
    </row>
    <row r="131" spans="1:31" ht="15.75" x14ac:dyDescent="0.25">
      <c r="A131" s="4"/>
      <c r="B131" s="276"/>
      <c r="C131" s="4"/>
      <c r="D131" s="4"/>
      <c r="E131" s="4"/>
      <c r="F131" s="4"/>
      <c r="G131" s="10"/>
      <c r="H131" s="10"/>
      <c r="I131" s="10"/>
      <c r="J131" s="10"/>
      <c r="K131" s="10"/>
      <c r="L131" s="10"/>
      <c r="M131" s="10"/>
      <c r="N131" s="10"/>
      <c r="O131" s="4"/>
      <c r="P131" s="4"/>
      <c r="Q131" s="4"/>
      <c r="R131" s="4"/>
      <c r="S131" s="4"/>
      <c r="T131" s="4"/>
      <c r="U131" s="4"/>
      <c r="V131" s="4"/>
      <c r="W131" s="4"/>
      <c r="X131" s="4"/>
      <c r="Y131" s="4"/>
      <c r="Z131" s="4"/>
      <c r="AA131" s="4"/>
      <c r="AB131" s="4"/>
      <c r="AC131" s="4"/>
      <c r="AD131" s="4"/>
      <c r="AE131" s="4"/>
    </row>
    <row r="132" spans="1:31" ht="15.75" x14ac:dyDescent="0.25">
      <c r="A132" s="4"/>
      <c r="B132" s="276"/>
      <c r="C132" s="4"/>
      <c r="D132" s="4"/>
      <c r="E132" s="4"/>
      <c r="F132" s="4"/>
      <c r="G132" s="10"/>
      <c r="H132" s="10"/>
      <c r="I132" s="10"/>
      <c r="J132" s="10"/>
      <c r="K132" s="10"/>
      <c r="L132" s="10"/>
      <c r="M132" s="10"/>
      <c r="N132" s="10"/>
      <c r="O132" s="4"/>
      <c r="P132" s="4"/>
      <c r="Q132" s="4"/>
      <c r="R132" s="4"/>
      <c r="S132" s="4"/>
      <c r="T132" s="4"/>
      <c r="U132" s="4"/>
      <c r="V132" s="4"/>
      <c r="W132" s="4"/>
      <c r="X132" s="4"/>
      <c r="Y132" s="4"/>
      <c r="Z132" s="4"/>
      <c r="AA132" s="4"/>
      <c r="AB132" s="4"/>
      <c r="AC132" s="4"/>
      <c r="AD132" s="4"/>
      <c r="AE132" s="4"/>
    </row>
    <row r="133" spans="1:31" ht="15.75" x14ac:dyDescent="0.25">
      <c r="A133" s="438" t="s">
        <v>268</v>
      </c>
      <c r="B133" s="276"/>
      <c r="C133" s="4"/>
      <c r="D133" s="4"/>
      <c r="E133" s="4"/>
      <c r="F133" s="4"/>
      <c r="G133" s="10"/>
      <c r="H133" s="10"/>
      <c r="I133" s="10"/>
      <c r="J133" s="10"/>
      <c r="K133" s="10"/>
      <c r="L133" s="10"/>
      <c r="M133" s="10"/>
      <c r="N133" s="10"/>
      <c r="O133" s="4"/>
      <c r="P133" s="4"/>
      <c r="Q133" s="4"/>
      <c r="R133" s="4"/>
      <c r="S133" s="4"/>
      <c r="T133" s="4"/>
      <c r="U133" s="4"/>
      <c r="V133" s="4"/>
      <c r="W133" s="4"/>
      <c r="X133" s="4"/>
      <c r="Y133" s="4"/>
      <c r="Z133" s="4"/>
      <c r="AA133" s="4"/>
      <c r="AB133" s="4"/>
      <c r="AC133" s="4"/>
      <c r="AD133" s="4"/>
      <c r="AE133" s="4"/>
    </row>
    <row r="134" spans="1:31" ht="15.75" x14ac:dyDescent="0.25">
      <c r="A134" s="4"/>
      <c r="B134" s="276" t="s">
        <v>272</v>
      </c>
      <c r="C134" s="4"/>
      <c r="D134" s="4"/>
      <c r="E134" s="4"/>
      <c r="F134" s="4"/>
      <c r="G134" s="10"/>
      <c r="H134" s="10"/>
      <c r="I134" s="10"/>
      <c r="J134" s="10"/>
      <c r="K134" s="10"/>
      <c r="L134" s="10"/>
      <c r="M134" s="10"/>
      <c r="N134" s="10"/>
      <c r="O134" s="4"/>
      <c r="P134" s="4"/>
      <c r="Q134" s="4"/>
      <c r="R134" s="4"/>
      <c r="S134" s="4"/>
      <c r="T134" s="4"/>
      <c r="U134" s="4"/>
      <c r="V134" s="4"/>
      <c r="W134" s="4"/>
      <c r="X134" s="4"/>
      <c r="Y134" s="4"/>
      <c r="Z134" s="4"/>
      <c r="AA134" s="4"/>
      <c r="AB134" s="4"/>
      <c r="AC134" s="4"/>
      <c r="AD134" s="4"/>
      <c r="AE134" s="4"/>
    </row>
    <row r="135" spans="1:31" ht="15.75" x14ac:dyDescent="0.25">
      <c r="A135" s="4"/>
      <c r="B135" s="276"/>
      <c r="C135" s="4"/>
      <c r="D135" s="4"/>
      <c r="E135" s="4"/>
      <c r="F135" s="4"/>
      <c r="G135" s="10"/>
      <c r="H135" s="10"/>
      <c r="I135" s="10"/>
      <c r="J135" s="10"/>
      <c r="K135" s="10"/>
      <c r="L135" s="10"/>
      <c r="M135" s="10"/>
      <c r="N135" s="10"/>
      <c r="O135" s="4"/>
      <c r="P135" s="4"/>
      <c r="Q135" s="4"/>
      <c r="R135" s="4"/>
      <c r="S135" s="4"/>
      <c r="T135" s="4"/>
      <c r="U135" s="4"/>
      <c r="V135" s="4"/>
      <c r="W135" s="4"/>
      <c r="X135" s="4"/>
      <c r="Y135" s="4"/>
      <c r="Z135" s="4"/>
      <c r="AA135" s="4"/>
      <c r="AB135" s="4"/>
      <c r="AC135" s="4"/>
      <c r="AD135" s="4"/>
      <c r="AE135" s="4"/>
    </row>
    <row r="136" spans="1:31" ht="15.75" x14ac:dyDescent="0.25">
      <c r="A136" s="4"/>
      <c r="B136" s="276"/>
      <c r="C136" s="4"/>
      <c r="D136" s="4"/>
      <c r="E136" s="4"/>
      <c r="F136" s="4"/>
      <c r="G136" s="10"/>
      <c r="H136" s="10"/>
      <c r="I136" s="10"/>
      <c r="J136" s="10"/>
      <c r="K136" s="10"/>
      <c r="L136" s="10"/>
      <c r="M136" s="10"/>
      <c r="N136" s="10"/>
      <c r="O136" s="4"/>
      <c r="P136" s="4"/>
      <c r="Q136" s="4"/>
      <c r="R136" s="4"/>
      <c r="S136" s="4"/>
      <c r="T136" s="4"/>
      <c r="U136" s="4"/>
      <c r="V136" s="4"/>
      <c r="W136" s="4"/>
      <c r="X136" s="4"/>
      <c r="Y136" s="4"/>
      <c r="Z136" s="4"/>
      <c r="AA136" s="4"/>
      <c r="AB136" s="4"/>
      <c r="AC136" s="4"/>
      <c r="AD136" s="4"/>
      <c r="AE136" s="4"/>
    </row>
    <row r="137" spans="1:31" ht="15.75" x14ac:dyDescent="0.25">
      <c r="A137" s="4"/>
      <c r="B137" s="10"/>
      <c r="C137" s="4"/>
      <c r="D137" s="4"/>
      <c r="E137" s="4"/>
      <c r="F137" s="4"/>
      <c r="G137" s="10"/>
      <c r="H137" s="10"/>
      <c r="I137" s="10"/>
      <c r="J137" s="10"/>
      <c r="K137" s="10"/>
      <c r="L137" s="10"/>
      <c r="M137" s="10"/>
      <c r="N137" s="10"/>
      <c r="O137" s="4"/>
      <c r="P137" s="4"/>
      <c r="Q137" s="4"/>
      <c r="R137" s="4"/>
      <c r="S137" s="4"/>
      <c r="T137" s="4"/>
      <c r="U137" s="4"/>
      <c r="V137" s="4"/>
      <c r="W137" s="4"/>
      <c r="X137" s="4"/>
      <c r="Y137" s="4"/>
      <c r="Z137" s="4"/>
      <c r="AA137" s="4"/>
      <c r="AB137" s="4"/>
      <c r="AC137" s="4"/>
      <c r="AD137" s="4"/>
      <c r="AE137" s="4"/>
    </row>
    <row r="138" spans="1:31" ht="15.75" x14ac:dyDescent="0.25">
      <c r="A138" s="431" t="s">
        <v>176</v>
      </c>
      <c r="B138" s="4"/>
      <c r="C138" s="4"/>
      <c r="D138" s="4"/>
      <c r="E138" s="4"/>
      <c r="F138" s="4"/>
      <c r="G138" s="10"/>
      <c r="H138" s="10"/>
      <c r="I138" s="10"/>
      <c r="J138" s="10"/>
      <c r="K138" s="10"/>
      <c r="L138" s="10"/>
      <c r="M138" s="10"/>
      <c r="N138" s="10"/>
      <c r="O138" s="4"/>
      <c r="P138" s="4"/>
      <c r="Q138" s="4"/>
      <c r="R138" s="4"/>
      <c r="S138" s="4"/>
      <c r="T138" s="4"/>
      <c r="U138" s="4"/>
      <c r="V138" s="4"/>
      <c r="W138" s="4"/>
      <c r="X138" s="4"/>
      <c r="Y138" s="4"/>
      <c r="Z138" s="4"/>
      <c r="AA138" s="4"/>
      <c r="AB138" s="4"/>
      <c r="AC138" s="4"/>
      <c r="AD138" s="4"/>
      <c r="AE138" s="4"/>
    </row>
    <row r="139" spans="1:31" ht="15.75" x14ac:dyDescent="0.25">
      <c r="A139" s="430" t="s">
        <v>177</v>
      </c>
      <c r="B139" s="4"/>
      <c r="C139" s="4"/>
      <c r="D139" s="4"/>
      <c r="E139" s="4"/>
      <c r="F139" s="4"/>
      <c r="G139" s="10"/>
      <c r="H139" s="10"/>
      <c r="I139" s="10"/>
      <c r="J139" s="10"/>
      <c r="K139" s="10"/>
      <c r="L139" s="10"/>
      <c r="M139" s="10"/>
      <c r="N139" s="10"/>
      <c r="O139" s="4"/>
      <c r="P139" s="4"/>
      <c r="Q139" s="4"/>
      <c r="R139" s="4"/>
      <c r="S139" s="4"/>
      <c r="T139" s="4"/>
      <c r="U139" s="4"/>
      <c r="V139" s="4"/>
      <c r="W139" s="4"/>
      <c r="X139" s="4"/>
      <c r="Y139" s="4"/>
      <c r="Z139" s="4"/>
      <c r="AA139" s="4"/>
      <c r="AB139" s="4"/>
      <c r="AC139" s="4"/>
      <c r="AD139" s="4"/>
      <c r="AE139" s="4"/>
    </row>
    <row r="140" spans="1:31" ht="15.75" x14ac:dyDescent="0.25">
      <c r="A140" s="430"/>
      <c r="B140" s="4"/>
      <c r="C140" s="4"/>
      <c r="D140" s="4"/>
      <c r="E140" s="4"/>
      <c r="F140" s="4"/>
      <c r="G140" s="10"/>
      <c r="H140" s="10"/>
      <c r="I140" s="10"/>
      <c r="J140" s="10"/>
      <c r="K140" s="10"/>
      <c r="L140" s="10"/>
      <c r="M140" s="10"/>
      <c r="N140" s="10"/>
      <c r="O140" s="4"/>
      <c r="P140" s="4"/>
      <c r="Q140" s="4"/>
      <c r="R140" s="4"/>
      <c r="S140" s="4"/>
      <c r="T140" s="4"/>
      <c r="U140" s="4"/>
      <c r="V140" s="4"/>
      <c r="W140" s="4"/>
      <c r="X140" s="4"/>
      <c r="Y140" s="4"/>
      <c r="Z140" s="4"/>
      <c r="AA140" s="4"/>
      <c r="AB140" s="4"/>
      <c r="AC140" s="4"/>
      <c r="AD140" s="4"/>
      <c r="AE140" s="4"/>
    </row>
    <row r="141" spans="1:31" ht="15" x14ac:dyDescent="0.2">
      <c r="A141" s="828" t="s">
        <v>227</v>
      </c>
      <c r="B141" s="828"/>
      <c r="C141" s="828"/>
      <c r="D141" s="828"/>
      <c r="E141" s="828"/>
      <c r="F141" s="828"/>
      <c r="G141" s="828"/>
      <c r="H141" s="828"/>
      <c r="I141" s="828"/>
      <c r="J141" s="828"/>
      <c r="K141" s="828"/>
      <c r="L141" s="828"/>
      <c r="M141" s="828"/>
      <c r="N141" s="828"/>
      <c r="O141" s="828"/>
      <c r="P141" s="828"/>
      <c r="Q141" s="4"/>
      <c r="R141" s="4"/>
      <c r="S141" s="4"/>
      <c r="T141" s="4"/>
      <c r="U141" s="4"/>
      <c r="V141" s="4"/>
      <c r="W141" s="4"/>
      <c r="X141" s="4"/>
      <c r="Y141" s="4"/>
      <c r="Z141" s="4"/>
      <c r="AA141" s="4"/>
      <c r="AB141" s="4"/>
      <c r="AC141" s="4"/>
      <c r="AD141" s="4"/>
      <c r="AE141" s="4"/>
    </row>
    <row r="142" spans="1:31" ht="15.75" x14ac:dyDescent="0.25">
      <c r="A142" s="430" t="s">
        <v>228</v>
      </c>
      <c r="B142" s="4"/>
      <c r="C142" s="4"/>
      <c r="D142" s="4"/>
      <c r="E142" s="4"/>
      <c r="F142" s="4"/>
      <c r="G142" s="10"/>
      <c r="H142" s="10"/>
      <c r="I142" s="10"/>
      <c r="J142" s="10"/>
      <c r="K142" s="10"/>
      <c r="L142" s="10"/>
      <c r="M142" s="10"/>
      <c r="N142" s="10"/>
      <c r="O142" s="4"/>
      <c r="P142" s="4"/>
      <c r="Q142" s="4"/>
      <c r="R142" s="4"/>
      <c r="S142" s="4"/>
      <c r="T142" s="4"/>
      <c r="U142" s="4"/>
      <c r="V142" s="4"/>
      <c r="W142" s="4"/>
      <c r="X142" s="4"/>
      <c r="Y142" s="4"/>
      <c r="Z142" s="4"/>
      <c r="AA142" s="4"/>
      <c r="AB142" s="4"/>
      <c r="AC142" s="4"/>
      <c r="AD142" s="4"/>
      <c r="AE142" s="4"/>
    </row>
    <row r="143" spans="1:31" ht="15.75" x14ac:dyDescent="0.25">
      <c r="A143" s="430" t="s">
        <v>229</v>
      </c>
      <c r="B143" s="4"/>
      <c r="C143" s="4"/>
      <c r="D143" s="4"/>
      <c r="E143" s="4"/>
      <c r="F143" s="4"/>
      <c r="G143" s="10"/>
      <c r="H143" s="10"/>
      <c r="I143" s="10"/>
      <c r="J143" s="10"/>
      <c r="K143" s="10"/>
      <c r="L143" s="10"/>
      <c r="M143" s="10"/>
      <c r="N143" s="10"/>
      <c r="O143" s="4"/>
      <c r="P143" s="4"/>
      <c r="Q143" s="4"/>
      <c r="R143" s="4"/>
      <c r="S143" s="4"/>
      <c r="T143" s="4"/>
      <c r="U143" s="4"/>
      <c r="V143" s="4"/>
      <c r="W143" s="4"/>
      <c r="X143" s="4"/>
      <c r="Y143" s="4"/>
      <c r="Z143" s="4"/>
      <c r="AA143" s="4"/>
      <c r="AB143" s="4"/>
      <c r="AC143" s="4"/>
      <c r="AD143" s="4"/>
      <c r="AE143" s="4"/>
    </row>
    <row r="144" spans="1:31" ht="15.75" x14ac:dyDescent="0.25">
      <c r="A144" s="430"/>
      <c r="B144" s="4"/>
      <c r="C144" s="4"/>
      <c r="D144" s="4"/>
      <c r="E144" s="4"/>
      <c r="F144" s="4"/>
      <c r="G144" s="10"/>
      <c r="H144" s="10"/>
      <c r="I144" s="10"/>
      <c r="J144" s="10"/>
      <c r="K144" s="10"/>
      <c r="L144" s="10"/>
      <c r="M144" s="10"/>
      <c r="N144" s="10"/>
      <c r="O144" s="4"/>
      <c r="P144" s="4"/>
      <c r="Q144" s="4"/>
      <c r="R144" s="4"/>
      <c r="S144" s="4"/>
      <c r="T144" s="4"/>
      <c r="U144" s="4"/>
      <c r="V144" s="4"/>
      <c r="W144" s="4"/>
      <c r="X144" s="4"/>
      <c r="Y144" s="4"/>
      <c r="Z144" s="4"/>
      <c r="AA144" s="4"/>
      <c r="AB144" s="4"/>
      <c r="AC144" s="4"/>
      <c r="AD144" s="4"/>
      <c r="AE144" s="4"/>
    </row>
    <row r="145" spans="1:31" ht="16.5" customHeight="1" x14ac:dyDescent="0.25">
      <c r="A145" s="430" t="s">
        <v>178</v>
      </c>
      <c r="B145" s="4"/>
      <c r="C145" s="4"/>
      <c r="D145" s="4"/>
      <c r="E145" s="4"/>
      <c r="F145" s="4"/>
      <c r="G145" s="10"/>
      <c r="H145" s="10"/>
      <c r="I145" s="10"/>
      <c r="J145" s="10"/>
      <c r="K145" s="10"/>
      <c r="L145" s="10"/>
      <c r="M145" s="10"/>
      <c r="N145" s="10"/>
      <c r="O145" s="4"/>
      <c r="P145" s="4"/>
      <c r="Q145" s="4"/>
      <c r="R145" s="4"/>
      <c r="S145" s="4"/>
      <c r="T145" s="4"/>
      <c r="U145" s="4"/>
      <c r="V145" s="4"/>
      <c r="W145" s="4"/>
      <c r="X145" s="4"/>
      <c r="Y145" s="4"/>
      <c r="Z145" s="4"/>
      <c r="AA145" s="4"/>
      <c r="AB145" s="4"/>
      <c r="AC145" s="4"/>
      <c r="AD145" s="4"/>
      <c r="AE145" s="4"/>
    </row>
    <row r="146" spans="1:31" ht="15.75" x14ac:dyDescent="0.25">
      <c r="A146" s="432" t="s">
        <v>179</v>
      </c>
      <c r="B146" s="4"/>
      <c r="C146" s="4"/>
      <c r="D146" s="4"/>
      <c r="E146" s="4"/>
      <c r="F146" s="4"/>
      <c r="G146" s="10"/>
      <c r="H146" s="10"/>
      <c r="I146" s="10"/>
      <c r="J146" s="10"/>
      <c r="K146" s="10"/>
      <c r="L146" s="10"/>
      <c r="M146" s="10"/>
      <c r="N146" s="10"/>
      <c r="O146" s="4"/>
      <c r="P146" s="4"/>
      <c r="Q146" s="4"/>
      <c r="R146" s="4"/>
      <c r="S146" s="4"/>
      <c r="T146" s="4"/>
      <c r="U146" s="4"/>
      <c r="V146" s="4"/>
      <c r="W146" s="4"/>
      <c r="X146" s="4"/>
      <c r="Y146" s="4"/>
      <c r="Z146" s="4"/>
      <c r="AA146" s="4"/>
      <c r="AB146" s="4"/>
      <c r="AC146" s="4"/>
      <c r="AD146" s="4"/>
      <c r="AE146" s="4"/>
    </row>
    <row r="147" spans="1:31" ht="14.25" customHeight="1" x14ac:dyDescent="0.25">
      <c r="A147" s="432" t="s">
        <v>180</v>
      </c>
      <c r="B147" s="4"/>
      <c r="C147" s="4"/>
      <c r="D147" s="4"/>
      <c r="E147" s="4"/>
      <c r="F147" s="4"/>
      <c r="G147" s="10"/>
      <c r="H147" s="10"/>
      <c r="I147" s="10"/>
      <c r="J147" s="10"/>
      <c r="K147" s="10"/>
      <c r="L147" s="10"/>
      <c r="M147" s="10"/>
      <c r="N147" s="10"/>
      <c r="O147" s="4"/>
      <c r="P147" s="4"/>
      <c r="Q147" s="4"/>
      <c r="R147" s="4"/>
      <c r="S147" s="4"/>
      <c r="T147" s="4"/>
      <c r="U147" s="4"/>
      <c r="V147" s="4"/>
      <c r="W147" s="4"/>
      <c r="X147" s="4"/>
      <c r="Y147" s="4"/>
      <c r="Z147" s="4"/>
      <c r="AA147" s="4"/>
      <c r="AB147" s="4"/>
      <c r="AC147" s="4"/>
      <c r="AD147" s="4"/>
      <c r="AE147" s="4"/>
    </row>
    <row r="148" spans="1:31" ht="15.75" x14ac:dyDescent="0.25">
      <c r="A148" s="432" t="s">
        <v>181</v>
      </c>
      <c r="B148" s="4"/>
      <c r="C148" s="4"/>
      <c r="D148" s="4"/>
      <c r="E148" s="4"/>
      <c r="F148" s="4"/>
      <c r="G148" s="10"/>
      <c r="H148" s="10"/>
      <c r="I148" s="10"/>
      <c r="J148" s="10"/>
      <c r="K148" s="10"/>
      <c r="L148" s="10"/>
      <c r="M148" s="10"/>
      <c r="N148" s="10"/>
      <c r="O148" s="4"/>
      <c r="P148" s="4"/>
      <c r="Q148" s="4"/>
      <c r="R148" s="4"/>
      <c r="S148" s="4"/>
      <c r="T148" s="4"/>
      <c r="U148" s="4"/>
      <c r="V148" s="4"/>
      <c r="W148" s="4"/>
      <c r="X148" s="4"/>
      <c r="Y148" s="4"/>
      <c r="Z148" s="4"/>
      <c r="AA148" s="4"/>
      <c r="AB148" s="4"/>
      <c r="AC148" s="4"/>
      <c r="AD148" s="4"/>
      <c r="AE148" s="4"/>
    </row>
    <row r="149" spans="1:31" ht="15.75" x14ac:dyDescent="0.25">
      <c r="A149" s="432" t="s">
        <v>182</v>
      </c>
      <c r="B149" s="4"/>
      <c r="C149" s="4"/>
      <c r="D149" s="4"/>
      <c r="E149" s="4"/>
      <c r="F149" s="4"/>
      <c r="G149" s="10"/>
      <c r="H149" s="10"/>
      <c r="I149" s="10"/>
      <c r="J149" s="10"/>
      <c r="K149" s="10"/>
      <c r="L149" s="10"/>
      <c r="M149" s="10"/>
      <c r="N149" s="10"/>
      <c r="O149" s="4"/>
      <c r="P149" s="4"/>
      <c r="Q149" s="4"/>
      <c r="R149" s="4"/>
      <c r="S149" s="4"/>
      <c r="T149" s="4"/>
      <c r="U149" s="4"/>
      <c r="V149" s="4"/>
      <c r="W149" s="4"/>
      <c r="X149" s="4"/>
      <c r="Y149" s="4"/>
      <c r="Z149" s="4"/>
      <c r="AA149" s="4"/>
      <c r="AB149" s="4"/>
      <c r="AC149" s="4"/>
      <c r="AD149" s="4"/>
      <c r="AE149" s="4"/>
    </row>
    <row r="150" spans="1:31" ht="15.75" x14ac:dyDescent="0.25">
      <c r="A150" s="4"/>
      <c r="B150" s="433"/>
      <c r="C150" s="829"/>
      <c r="D150" s="829"/>
      <c r="E150" s="829"/>
      <c r="F150" s="829"/>
      <c r="G150" s="829"/>
      <c r="H150" s="829"/>
      <c r="I150" s="829"/>
      <c r="J150" s="829"/>
      <c r="K150" s="829"/>
      <c r="L150" s="434"/>
      <c r="M150" s="10"/>
      <c r="N150" s="10"/>
      <c r="O150" s="4"/>
      <c r="P150" s="4"/>
      <c r="Q150" s="4"/>
      <c r="R150" s="4"/>
      <c r="S150" s="4"/>
      <c r="T150" s="4"/>
      <c r="U150" s="4"/>
      <c r="V150" s="4"/>
      <c r="W150" s="4"/>
      <c r="X150" s="4"/>
      <c r="Y150" s="4"/>
      <c r="Z150" s="4"/>
      <c r="AA150" s="4"/>
      <c r="AB150" s="4"/>
      <c r="AC150" s="4"/>
      <c r="AD150" s="4"/>
      <c r="AE150" s="4"/>
    </row>
    <row r="151" spans="1:31" ht="15.75" x14ac:dyDescent="0.25">
      <c r="A151" s="435" t="s">
        <v>76</v>
      </c>
      <c r="B151" s="436"/>
      <c r="C151" s="436"/>
      <c r="D151" s="436"/>
      <c r="E151" s="436"/>
      <c r="F151" s="436"/>
      <c r="G151" s="436"/>
      <c r="H151" s="436"/>
      <c r="I151" s="436"/>
      <c r="J151" s="436"/>
      <c r="K151" s="436"/>
      <c r="L151" s="10"/>
      <c r="M151" s="10"/>
      <c r="N151" s="10"/>
      <c r="O151" s="4"/>
      <c r="P151" s="4"/>
      <c r="Q151" s="4"/>
      <c r="R151" s="4"/>
      <c r="S151" s="4"/>
      <c r="T151" s="4"/>
      <c r="U151" s="4"/>
      <c r="V151" s="4"/>
      <c r="W151" s="4"/>
      <c r="X151" s="4"/>
      <c r="Y151" s="4"/>
      <c r="Z151" s="4"/>
      <c r="AA151" s="4"/>
      <c r="AB151" s="4"/>
      <c r="AC151" s="4"/>
      <c r="AD151" s="4"/>
      <c r="AE151" s="4"/>
    </row>
    <row r="152" spans="1:31" ht="15.75" x14ac:dyDescent="0.25">
      <c r="A152" s="436"/>
      <c r="B152" s="436"/>
      <c r="C152" s="436"/>
      <c r="D152" s="436"/>
      <c r="E152" s="436"/>
      <c r="F152" s="436"/>
      <c r="G152" s="436"/>
      <c r="H152" s="436"/>
      <c r="I152" s="436"/>
      <c r="J152" s="436"/>
      <c r="K152" s="436"/>
      <c r="L152" s="10"/>
      <c r="M152" s="10"/>
      <c r="N152" s="10"/>
      <c r="O152" s="4"/>
      <c r="P152" s="4"/>
      <c r="Q152" s="4"/>
      <c r="R152" s="4"/>
      <c r="S152" s="4"/>
      <c r="T152" s="4"/>
      <c r="U152" s="4"/>
      <c r="V152" s="4"/>
      <c r="W152" s="4"/>
      <c r="X152" s="4"/>
      <c r="Y152" s="4"/>
      <c r="Z152" s="4"/>
      <c r="AA152" s="4"/>
      <c r="AB152" s="4"/>
      <c r="AC152" s="4"/>
      <c r="AD152" s="4"/>
      <c r="AE152" s="4"/>
    </row>
    <row r="153" spans="1:31" ht="15.75" x14ac:dyDescent="0.25">
      <c r="A153" s="830"/>
      <c r="B153" s="831"/>
      <c r="C153" s="831"/>
      <c r="D153" s="831"/>
      <c r="E153" s="831"/>
      <c r="F153" s="831"/>
      <c r="G153" s="831"/>
      <c r="H153" s="831"/>
      <c r="I153" s="831"/>
      <c r="J153" s="831"/>
      <c r="K153" s="832"/>
      <c r="L153" s="10"/>
      <c r="M153" s="10"/>
      <c r="N153" s="10"/>
      <c r="O153" s="4"/>
      <c r="P153" s="4"/>
      <c r="Q153" s="4"/>
      <c r="R153" s="4"/>
      <c r="S153" s="4"/>
      <c r="T153" s="4"/>
      <c r="U153" s="4"/>
      <c r="V153" s="4"/>
      <c r="W153" s="4"/>
      <c r="X153" s="4"/>
      <c r="Y153" s="4"/>
      <c r="Z153" s="4"/>
      <c r="AA153" s="4"/>
      <c r="AB153" s="4"/>
      <c r="AC153" s="4"/>
      <c r="AD153" s="4"/>
      <c r="AE153" s="4"/>
    </row>
    <row r="154" spans="1:3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sheetData>
  <mergeCells count="3">
    <mergeCell ref="A141:P141"/>
    <mergeCell ref="C150:K150"/>
    <mergeCell ref="A153:K153"/>
  </mergeCells>
  <hyperlinks>
    <hyperlink ref="A16" location="'Effective Area Tool'!A1" display="Effective Area Tool" xr:uid="{00000000-0004-0000-0000-000000000000}"/>
    <hyperlink ref="A30" location="'Feed Profile Tool'!A1" display="Feed Profile Tool" xr:uid="{00000000-0004-0000-0000-000001000000}"/>
    <hyperlink ref="A99" location="'Paddock feed budget calculator'!A1" display="Paddock Feed Budget Calculator" xr:uid="{00000000-0004-0000-0000-000002000000}"/>
    <hyperlink ref="A116" location="'Supp feed calculator'!A1" display="Supp feed calculator" xr:uid="{00000000-0004-0000-0000-000003000000}"/>
    <hyperlink ref="A91" location="'Supplements Tool'!A1" display="Supplements Tool" xr:uid="{00000000-0004-0000-0000-000004000000}"/>
    <hyperlink ref="A133" location="'Summary of results'!A1" display="Summary of Results" xr:uid="{00000000-0004-0000-0000-000005000000}"/>
  </hyperlinks>
  <pageMargins left="0.70866141732283472" right="0.70866141732283472" top="0.74803149606299213" bottom="0.74803149606299213" header="0.31496062992125984" footer="0.31496062992125984"/>
  <pageSetup paperSize="9" scale="62" fitToHeight="3"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50"/>
  <sheetViews>
    <sheetView showGridLines="0" workbookViewId="0">
      <selection sqref="A1:Q2"/>
    </sheetView>
  </sheetViews>
  <sheetFormatPr defaultColWidth="9.33203125" defaultRowHeight="15" x14ac:dyDescent="0.25"/>
  <cols>
    <col min="1" max="1" width="18.1640625" style="5" customWidth="1"/>
    <col min="2" max="2" width="17" style="5" customWidth="1"/>
    <col min="3" max="3" width="17.6640625" style="5" customWidth="1"/>
    <col min="4" max="4" width="19.33203125" style="5" customWidth="1"/>
    <col min="5" max="5" width="23.33203125" style="5" customWidth="1"/>
    <col min="6" max="6" width="16.1640625" style="5" customWidth="1"/>
    <col min="7" max="7" width="14" style="5" customWidth="1"/>
    <col min="8" max="8" width="15.5" style="5" bestFit="1" customWidth="1"/>
    <col min="9" max="9" width="21.83203125" style="5" customWidth="1"/>
    <col min="10" max="10" width="23.6640625" style="5" hidden="1" customWidth="1"/>
    <col min="11" max="11" width="17.33203125" style="5" hidden="1" customWidth="1"/>
    <col min="12" max="12" width="16.6640625" style="5" customWidth="1"/>
    <col min="13" max="13" width="16.1640625" style="5" customWidth="1"/>
    <col min="14" max="14" width="15" style="5" customWidth="1"/>
    <col min="15" max="15" width="19.1640625" style="5" customWidth="1"/>
    <col min="16" max="16" width="9.6640625" style="5" customWidth="1"/>
    <col min="17" max="17" width="11.6640625" style="5" customWidth="1"/>
    <col min="18" max="21" width="9.6640625" style="5" customWidth="1"/>
    <col min="22" max="22" width="11.6640625" style="5" customWidth="1"/>
    <col min="23" max="23" width="10" style="5" customWidth="1"/>
    <col min="24" max="26" width="9.33203125" style="5"/>
    <col min="27" max="27" width="12.1640625" style="5" customWidth="1"/>
    <col min="28" max="28" width="17" style="5" customWidth="1"/>
    <col min="29" max="29" width="15.6640625" style="5" customWidth="1"/>
    <col min="30" max="31" width="9.33203125" style="5"/>
    <col min="32" max="32" width="11.6640625" style="5" customWidth="1"/>
    <col min="33" max="33" width="12.83203125" style="5" bestFit="1" customWidth="1"/>
    <col min="34" max="16384" width="9.33203125" style="5"/>
  </cols>
  <sheetData>
    <row r="1" spans="1:28" ht="18.75" customHeight="1" x14ac:dyDescent="0.25">
      <c r="A1" s="836" t="s">
        <v>286</v>
      </c>
      <c r="B1" s="836"/>
      <c r="C1" s="836"/>
      <c r="D1" s="836"/>
      <c r="E1" s="836"/>
      <c r="F1" s="836"/>
      <c r="G1" s="836"/>
      <c r="H1" s="836"/>
      <c r="I1" s="836"/>
      <c r="J1" s="836"/>
      <c r="K1" s="836"/>
      <c r="L1" s="836"/>
      <c r="M1" s="836"/>
      <c r="N1" s="836"/>
      <c r="O1" s="836"/>
      <c r="P1" s="836"/>
      <c r="Q1" s="836"/>
    </row>
    <row r="2" spans="1:28" s="274" customFormat="1" ht="11.25" x14ac:dyDescent="0.2">
      <c r="A2" s="836"/>
      <c r="B2" s="836"/>
      <c r="C2" s="836"/>
      <c r="D2" s="836"/>
      <c r="E2" s="836"/>
      <c r="F2" s="836"/>
      <c r="G2" s="836"/>
      <c r="H2" s="836"/>
      <c r="I2" s="836"/>
      <c r="J2" s="836"/>
      <c r="K2" s="836"/>
      <c r="L2" s="836"/>
      <c r="M2" s="836"/>
      <c r="N2" s="836"/>
      <c r="O2" s="836"/>
      <c r="P2" s="836"/>
      <c r="Q2" s="836"/>
    </row>
    <row r="3" spans="1:28" ht="15.75" x14ac:dyDescent="0.25">
      <c r="A3" s="284" t="s">
        <v>175</v>
      </c>
      <c r="D3" s="284"/>
    </row>
    <row r="4" spans="1:28" s="274" customFormat="1" ht="11.25" x14ac:dyDescent="0.2">
      <c r="B4" s="441"/>
    </row>
    <row r="5" spans="1:28" x14ac:dyDescent="0.25">
      <c r="A5" s="318" t="s">
        <v>62</v>
      </c>
    </row>
    <row r="6" spans="1:28" ht="39" x14ac:dyDescent="0.25">
      <c r="A6" s="319" t="s">
        <v>214</v>
      </c>
      <c r="B6" s="319" t="s">
        <v>53</v>
      </c>
      <c r="C6" s="319" t="s">
        <v>213</v>
      </c>
      <c r="D6" s="319" t="s">
        <v>203</v>
      </c>
      <c r="E6" s="319" t="s">
        <v>54</v>
      </c>
      <c r="F6" s="319" t="s">
        <v>55</v>
      </c>
      <c r="G6" s="319" t="s">
        <v>56</v>
      </c>
      <c r="H6" s="319" t="s">
        <v>57</v>
      </c>
      <c r="I6" s="320" t="s">
        <v>219</v>
      </c>
      <c r="J6" s="320"/>
      <c r="K6" s="320"/>
      <c r="L6" s="320" t="s">
        <v>220</v>
      </c>
      <c r="M6" s="320" t="s">
        <v>225</v>
      </c>
      <c r="N6" s="320" t="s">
        <v>226</v>
      </c>
      <c r="O6" s="319" t="s">
        <v>212</v>
      </c>
      <c r="P6" s="319" t="s">
        <v>218</v>
      </c>
      <c r="Q6" s="319" t="s">
        <v>224</v>
      </c>
      <c r="AB6" s="324"/>
    </row>
    <row r="7" spans="1:28" x14ac:dyDescent="0.25">
      <c r="A7" s="331">
        <v>1</v>
      </c>
      <c r="B7" s="490" t="s">
        <v>65</v>
      </c>
      <c r="C7" s="491">
        <v>100</v>
      </c>
      <c r="D7" s="491">
        <v>70</v>
      </c>
      <c r="E7" s="492">
        <v>1.4</v>
      </c>
      <c r="F7" s="492">
        <v>0</v>
      </c>
      <c r="G7" s="492">
        <v>0</v>
      </c>
      <c r="H7" s="492">
        <v>0</v>
      </c>
      <c r="I7" s="332">
        <f>SUM(E7:H7)</f>
        <v>1.4</v>
      </c>
      <c r="J7" s="332"/>
      <c r="K7" s="332"/>
      <c r="L7" s="333">
        <f>I7*C7</f>
        <v>140</v>
      </c>
      <c r="M7" s="333">
        <f>I7*10.5</f>
        <v>14.7</v>
      </c>
      <c r="N7" s="333">
        <f>M7*C7</f>
        <v>1470</v>
      </c>
      <c r="O7" s="490" t="s">
        <v>209</v>
      </c>
      <c r="P7" s="491">
        <v>100</v>
      </c>
      <c r="Q7" s="490" t="s">
        <v>96</v>
      </c>
      <c r="AB7" s="322"/>
    </row>
    <row r="8" spans="1:28" x14ac:dyDescent="0.25">
      <c r="A8" s="325">
        <v>2</v>
      </c>
      <c r="B8" s="493" t="s">
        <v>65</v>
      </c>
      <c r="C8" s="494">
        <v>100</v>
      </c>
      <c r="D8" s="494">
        <v>70</v>
      </c>
      <c r="E8" s="495">
        <v>1.4</v>
      </c>
      <c r="F8" s="495">
        <v>0</v>
      </c>
      <c r="G8" s="495">
        <v>0</v>
      </c>
      <c r="H8" s="495">
        <v>0</v>
      </c>
      <c r="I8" s="326">
        <f>SUM(E8:H8)</f>
        <v>1.4</v>
      </c>
      <c r="J8" s="326"/>
      <c r="K8" s="326"/>
      <c r="L8" s="327">
        <f>I8*C8</f>
        <v>140</v>
      </c>
      <c r="M8" s="333">
        <f t="shared" ref="M8:M16" si="0">I8*10.5</f>
        <v>14.7</v>
      </c>
      <c r="N8" s="333">
        <f t="shared" ref="N8:N16" si="1">M8*C8</f>
        <v>1470</v>
      </c>
      <c r="O8" s="490" t="s">
        <v>94</v>
      </c>
      <c r="P8" s="494">
        <v>100</v>
      </c>
      <c r="Q8" s="490" t="s">
        <v>241</v>
      </c>
      <c r="AB8" s="323"/>
    </row>
    <row r="9" spans="1:28" x14ac:dyDescent="0.25">
      <c r="A9" s="325">
        <v>3</v>
      </c>
      <c r="B9" s="493"/>
      <c r="C9" s="494"/>
      <c r="D9" s="494"/>
      <c r="E9" s="495"/>
      <c r="F9" s="495"/>
      <c r="G9" s="495"/>
      <c r="H9" s="495"/>
      <c r="I9" s="326">
        <f>SUM(E9:H9)</f>
        <v>0</v>
      </c>
      <c r="J9" s="326"/>
      <c r="K9" s="326"/>
      <c r="L9" s="327">
        <f>I9*C9</f>
        <v>0</v>
      </c>
      <c r="M9" s="333">
        <f t="shared" si="0"/>
        <v>0</v>
      </c>
      <c r="N9" s="333">
        <f t="shared" si="1"/>
        <v>0</v>
      </c>
      <c r="O9" s="490"/>
      <c r="P9" s="494"/>
      <c r="Q9" s="490"/>
      <c r="AB9" s="323"/>
    </row>
    <row r="10" spans="1:28" x14ac:dyDescent="0.25">
      <c r="A10" s="325">
        <v>4</v>
      </c>
      <c r="B10" s="493"/>
      <c r="C10" s="494"/>
      <c r="D10" s="494"/>
      <c r="E10" s="495"/>
      <c r="F10" s="495"/>
      <c r="G10" s="495"/>
      <c r="H10" s="495"/>
      <c r="I10" s="326">
        <f>SUM(E10:H10)</f>
        <v>0</v>
      </c>
      <c r="J10" s="326"/>
      <c r="K10" s="326"/>
      <c r="L10" s="327">
        <f>I10*C10</f>
        <v>0</v>
      </c>
      <c r="M10" s="333">
        <f t="shared" si="0"/>
        <v>0</v>
      </c>
      <c r="N10" s="333">
        <f t="shared" si="1"/>
        <v>0</v>
      </c>
      <c r="O10" s="490"/>
      <c r="P10" s="494"/>
      <c r="Q10" s="490"/>
      <c r="AB10" s="322"/>
    </row>
    <row r="11" spans="1:28" x14ac:dyDescent="0.25">
      <c r="A11" s="325">
        <v>5</v>
      </c>
      <c r="B11" s="493"/>
      <c r="C11" s="494"/>
      <c r="D11" s="494"/>
      <c r="E11" s="495"/>
      <c r="F11" s="495"/>
      <c r="G11" s="495"/>
      <c r="H11" s="495"/>
      <c r="I11" s="326">
        <f t="shared" ref="I11:I16" si="2">SUM(E11:H11)</f>
        <v>0</v>
      </c>
      <c r="J11" s="326"/>
      <c r="K11" s="326"/>
      <c r="L11" s="327">
        <f t="shared" ref="L11:L16" si="3">I11*C11</f>
        <v>0</v>
      </c>
      <c r="M11" s="333">
        <f t="shared" si="0"/>
        <v>0</v>
      </c>
      <c r="N11" s="333">
        <f t="shared" si="1"/>
        <v>0</v>
      </c>
      <c r="O11" s="490"/>
      <c r="P11" s="494"/>
      <c r="Q11" s="490"/>
      <c r="AB11" s="322"/>
    </row>
    <row r="12" spans="1:28" x14ac:dyDescent="0.25">
      <c r="A12" s="325">
        <v>6</v>
      </c>
      <c r="B12" s="493"/>
      <c r="C12" s="494"/>
      <c r="D12" s="494"/>
      <c r="E12" s="495"/>
      <c r="F12" s="495"/>
      <c r="G12" s="495"/>
      <c r="H12" s="495"/>
      <c r="I12" s="326">
        <f t="shared" si="2"/>
        <v>0</v>
      </c>
      <c r="J12" s="326"/>
      <c r="K12" s="326"/>
      <c r="L12" s="327">
        <f t="shared" si="3"/>
        <v>0</v>
      </c>
      <c r="M12" s="333">
        <f t="shared" si="0"/>
        <v>0</v>
      </c>
      <c r="N12" s="333">
        <f t="shared" si="1"/>
        <v>0</v>
      </c>
      <c r="O12" s="490"/>
      <c r="P12" s="494"/>
      <c r="Q12" s="490"/>
      <c r="AB12" s="322"/>
    </row>
    <row r="13" spans="1:28" x14ac:dyDescent="0.25">
      <c r="A13" s="325">
        <v>7</v>
      </c>
      <c r="B13" s="493"/>
      <c r="C13" s="494"/>
      <c r="D13" s="494"/>
      <c r="E13" s="495"/>
      <c r="F13" s="495"/>
      <c r="G13" s="495"/>
      <c r="H13" s="495"/>
      <c r="I13" s="326">
        <f t="shared" si="2"/>
        <v>0</v>
      </c>
      <c r="J13" s="326"/>
      <c r="K13" s="326"/>
      <c r="L13" s="327">
        <f t="shared" si="3"/>
        <v>0</v>
      </c>
      <c r="M13" s="333">
        <f t="shared" si="0"/>
        <v>0</v>
      </c>
      <c r="N13" s="333">
        <f t="shared" si="1"/>
        <v>0</v>
      </c>
      <c r="O13" s="490"/>
      <c r="P13" s="494"/>
      <c r="Q13" s="490"/>
      <c r="AB13" s="322"/>
    </row>
    <row r="14" spans="1:28" x14ac:dyDescent="0.25">
      <c r="A14" s="325">
        <v>8</v>
      </c>
      <c r="B14" s="493"/>
      <c r="C14" s="494"/>
      <c r="D14" s="494"/>
      <c r="E14" s="495"/>
      <c r="F14" s="495"/>
      <c r="G14" s="495"/>
      <c r="H14" s="495"/>
      <c r="I14" s="326">
        <f t="shared" si="2"/>
        <v>0</v>
      </c>
      <c r="J14" s="326"/>
      <c r="K14" s="326"/>
      <c r="L14" s="327">
        <f t="shared" si="3"/>
        <v>0</v>
      </c>
      <c r="M14" s="333">
        <f t="shared" si="0"/>
        <v>0</v>
      </c>
      <c r="N14" s="333">
        <f t="shared" si="1"/>
        <v>0</v>
      </c>
      <c r="O14" s="490"/>
      <c r="P14" s="494"/>
      <c r="Q14" s="490"/>
      <c r="AB14" s="322"/>
    </row>
    <row r="15" spans="1:28" x14ac:dyDescent="0.25">
      <c r="A15" s="325">
        <v>9</v>
      </c>
      <c r="B15" s="493"/>
      <c r="C15" s="494"/>
      <c r="D15" s="494"/>
      <c r="E15" s="495"/>
      <c r="F15" s="495"/>
      <c r="G15" s="495"/>
      <c r="H15" s="495"/>
      <c r="I15" s="326">
        <f t="shared" si="2"/>
        <v>0</v>
      </c>
      <c r="J15" s="326"/>
      <c r="K15" s="326"/>
      <c r="L15" s="327">
        <f t="shared" si="3"/>
        <v>0</v>
      </c>
      <c r="M15" s="333">
        <f t="shared" si="0"/>
        <v>0</v>
      </c>
      <c r="N15" s="333">
        <f t="shared" si="1"/>
        <v>0</v>
      </c>
      <c r="O15" s="490"/>
      <c r="P15" s="494"/>
      <c r="Q15" s="490"/>
      <c r="AB15" s="322"/>
    </row>
    <row r="16" spans="1:28" x14ac:dyDescent="0.25">
      <c r="A16" s="328">
        <v>10</v>
      </c>
      <c r="B16" s="496"/>
      <c r="C16" s="497"/>
      <c r="D16" s="497"/>
      <c r="E16" s="498"/>
      <c r="F16" s="498"/>
      <c r="G16" s="498"/>
      <c r="H16" s="498"/>
      <c r="I16" s="329">
        <f t="shared" si="2"/>
        <v>0</v>
      </c>
      <c r="J16" s="329"/>
      <c r="K16" s="329"/>
      <c r="L16" s="330">
        <f t="shared" si="3"/>
        <v>0</v>
      </c>
      <c r="M16" s="330">
        <f t="shared" si="0"/>
        <v>0</v>
      </c>
      <c r="N16" s="330">
        <f t="shared" si="1"/>
        <v>0</v>
      </c>
      <c r="O16" s="496"/>
      <c r="P16" s="497"/>
      <c r="Q16" s="496"/>
      <c r="AB16" s="322"/>
    </row>
    <row r="17" spans="1:38"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15.75" thickBot="1" x14ac:dyDescent="0.3">
      <c r="A18" s="318" t="s">
        <v>206</v>
      </c>
      <c r="B18" s="2"/>
      <c r="C18" s="2"/>
      <c r="D18" s="2"/>
      <c r="E18" s="2"/>
      <c r="F18" s="2"/>
      <c r="G18" s="2"/>
      <c r="H18" s="2"/>
      <c r="I18" s="2"/>
      <c r="J18" s="2"/>
      <c r="K18" s="2"/>
      <c r="L18" s="2"/>
      <c r="M18" s="2"/>
      <c r="N18" s="2"/>
      <c r="O18" s="2"/>
      <c r="P18" s="2"/>
      <c r="Q18" s="2"/>
      <c r="R18" s="2"/>
      <c r="S18" s="2"/>
      <c r="T18" s="2"/>
      <c r="U18" s="2"/>
      <c r="V18" s="2"/>
      <c r="W18" s="2"/>
      <c r="X18" s="2"/>
    </row>
    <row r="19" spans="1:38" ht="30.75" customHeight="1" x14ac:dyDescent="0.25">
      <c r="A19" s="394"/>
      <c r="B19" s="402"/>
      <c r="C19" s="847" t="s">
        <v>248</v>
      </c>
      <c r="D19" s="848"/>
      <c r="E19" s="849"/>
      <c r="F19" s="847" t="s">
        <v>249</v>
      </c>
      <c r="G19" s="849"/>
      <c r="H19" s="847" t="s">
        <v>250</v>
      </c>
      <c r="I19" s="848"/>
      <c r="J19" s="848"/>
      <c r="K19" s="848"/>
      <c r="L19" s="848"/>
      <c r="M19" s="849"/>
      <c r="N19" s="2"/>
      <c r="O19" s="2"/>
      <c r="P19" s="2"/>
      <c r="Q19" s="2"/>
      <c r="R19" s="2"/>
      <c r="S19" s="2"/>
      <c r="T19" s="2"/>
      <c r="U19" s="2"/>
      <c r="V19" s="2"/>
      <c r="W19" s="2"/>
      <c r="X19" s="2"/>
    </row>
    <row r="20" spans="1:38" ht="90" x14ac:dyDescent="0.25">
      <c r="A20" s="392" t="s">
        <v>214</v>
      </c>
      <c r="B20" s="393" t="s">
        <v>53</v>
      </c>
      <c r="C20" s="380" t="s">
        <v>215</v>
      </c>
      <c r="D20" s="321" t="s">
        <v>221</v>
      </c>
      <c r="E20" s="381" t="s">
        <v>217</v>
      </c>
      <c r="F20" s="380" t="s">
        <v>240</v>
      </c>
      <c r="G20" s="381" t="s">
        <v>239</v>
      </c>
      <c r="H20" s="380" t="s">
        <v>277</v>
      </c>
      <c r="I20" s="321" t="s">
        <v>278</v>
      </c>
      <c r="J20" s="321"/>
      <c r="K20" s="321"/>
      <c r="L20" s="321" t="s">
        <v>279</v>
      </c>
      <c r="M20" s="381" t="s">
        <v>280</v>
      </c>
      <c r="N20" s="2"/>
      <c r="O20" s="2"/>
      <c r="P20" s="2"/>
      <c r="Q20" s="2"/>
      <c r="R20" s="2"/>
      <c r="S20" s="2"/>
      <c r="T20" s="2"/>
      <c r="U20" s="2"/>
      <c r="V20" s="2"/>
      <c r="W20" s="2"/>
      <c r="X20" s="2"/>
      <c r="Y20" s="2"/>
      <c r="Z20" s="2"/>
      <c r="AA20" s="2"/>
      <c r="AB20" s="2"/>
      <c r="AC20" s="2"/>
      <c r="AD20" s="2"/>
      <c r="AE20" s="2"/>
    </row>
    <row r="21" spans="1:38" x14ac:dyDescent="0.25">
      <c r="A21" s="386">
        <v>1</v>
      </c>
      <c r="B21" s="387" t="str">
        <f t="shared" ref="B21:B30" si="4">B7</f>
        <v>ewes</v>
      </c>
      <c r="C21" s="382">
        <f t="shared" ref="C21:C30" si="5">(((120/(VLOOKUP(O7,$A$35:$B$43,2)))/100)*D7)</f>
        <v>1.4000000000000001</v>
      </c>
      <c r="D21" s="337">
        <f t="shared" ref="D21:D30" si="6">C21*P7/100</f>
        <v>1.4</v>
      </c>
      <c r="E21" s="337">
        <f>C21-I7</f>
        <v>0</v>
      </c>
      <c r="F21" s="395">
        <f t="shared" ref="F21:F30" si="7">(VLOOKUP(O7,$A$35:$K$43,10))</f>
        <v>11.5</v>
      </c>
      <c r="G21" s="396">
        <f t="shared" ref="G21:G30" si="8">VLOOKUP(O7,$A$35:$K$43,11)</f>
        <v>80</v>
      </c>
      <c r="H21" s="395">
        <f t="shared" ref="H21:H30" si="9">(((M7/F21))/(G21/100))*(P7/100)</f>
        <v>1.5978260869565215</v>
      </c>
      <c r="I21" s="371">
        <f t="shared" ref="I21:I30" si="10">((H21/((VLOOKUP(Q7,$A$46:$B$50,2))/100)))</f>
        <v>1.8797953964194372</v>
      </c>
      <c r="J21" s="371"/>
      <c r="K21" s="371"/>
      <c r="L21" s="371">
        <f>I21/(G21/100)</f>
        <v>2.3497442455242963</v>
      </c>
      <c r="M21" s="396">
        <f t="shared" ref="M21:M30" si="11">L21*C7</f>
        <v>234.97442455242964</v>
      </c>
      <c r="N21" s="370"/>
      <c r="P21" s="2"/>
      <c r="Q21" s="2"/>
      <c r="R21" s="2"/>
      <c r="S21" s="2"/>
      <c r="T21" s="2"/>
      <c r="U21" s="2"/>
      <c r="V21" s="2"/>
      <c r="W21" s="2"/>
      <c r="X21" s="2"/>
      <c r="Y21" s="2"/>
      <c r="Z21" s="2"/>
      <c r="AA21" s="2"/>
      <c r="AB21" s="2"/>
      <c r="AC21" s="2"/>
      <c r="AD21" s="2"/>
      <c r="AE21" s="2"/>
    </row>
    <row r="22" spans="1:38" x14ac:dyDescent="0.25">
      <c r="A22" s="388">
        <v>2</v>
      </c>
      <c r="B22" s="389" t="str">
        <f t="shared" si="4"/>
        <v>ewes</v>
      </c>
      <c r="C22" s="383">
        <f t="shared" si="5"/>
        <v>2.8000000000000003</v>
      </c>
      <c r="D22" s="338">
        <f t="shared" si="6"/>
        <v>2.8</v>
      </c>
      <c r="E22" s="338">
        <f t="shared" ref="E22:E30" si="12">C22-I8</f>
        <v>1.4000000000000004</v>
      </c>
      <c r="F22" s="397">
        <f t="shared" si="7"/>
        <v>12</v>
      </c>
      <c r="G22" s="396">
        <f t="shared" si="8"/>
        <v>90</v>
      </c>
      <c r="H22" s="395">
        <f t="shared" si="9"/>
        <v>1.3611111111111109</v>
      </c>
      <c r="I22" s="371">
        <f t="shared" si="10"/>
        <v>1.7013888888888886</v>
      </c>
      <c r="J22" s="371"/>
      <c r="K22" s="371"/>
      <c r="L22" s="371">
        <f t="shared" ref="L22:L30" si="13">I22/(G22/100)</f>
        <v>1.8904320987654317</v>
      </c>
      <c r="M22" s="396">
        <f t="shared" si="11"/>
        <v>189.04320987654316</v>
      </c>
      <c r="N22" s="2"/>
      <c r="O22" s="2"/>
      <c r="P22" s="2"/>
      <c r="Q22" s="2"/>
      <c r="R22" s="2"/>
      <c r="S22" s="2"/>
      <c r="T22" s="2"/>
      <c r="U22" s="2"/>
      <c r="V22" s="2"/>
      <c r="W22" s="2"/>
      <c r="X22" s="2"/>
      <c r="Y22" s="2"/>
      <c r="Z22" s="2"/>
      <c r="AA22" s="2"/>
      <c r="AB22" s="2"/>
      <c r="AC22" s="2"/>
      <c r="AD22" s="2"/>
      <c r="AE22" s="2"/>
    </row>
    <row r="23" spans="1:38" x14ac:dyDescent="0.25">
      <c r="A23" s="388">
        <v>3</v>
      </c>
      <c r="B23" s="389">
        <f t="shared" si="4"/>
        <v>0</v>
      </c>
      <c r="C23" s="383" t="e">
        <f t="shared" si="5"/>
        <v>#N/A</v>
      </c>
      <c r="D23" s="338" t="e">
        <f t="shared" si="6"/>
        <v>#N/A</v>
      </c>
      <c r="E23" s="338" t="e">
        <f t="shared" si="12"/>
        <v>#N/A</v>
      </c>
      <c r="F23" s="397" t="e">
        <f t="shared" si="7"/>
        <v>#N/A</v>
      </c>
      <c r="G23" s="396" t="e">
        <f t="shared" si="8"/>
        <v>#N/A</v>
      </c>
      <c r="H23" s="395" t="e">
        <f t="shared" si="9"/>
        <v>#N/A</v>
      </c>
      <c r="I23" s="371" t="e">
        <f t="shared" si="10"/>
        <v>#N/A</v>
      </c>
      <c r="J23" s="371"/>
      <c r="K23" s="371"/>
      <c r="L23" s="371" t="e">
        <f t="shared" si="13"/>
        <v>#N/A</v>
      </c>
      <c r="M23" s="396" t="e">
        <f t="shared" si="11"/>
        <v>#N/A</v>
      </c>
      <c r="N23" s="2"/>
      <c r="O23" s="2"/>
      <c r="P23" s="2"/>
      <c r="Q23" s="2"/>
      <c r="R23" s="2"/>
      <c r="S23" s="2"/>
      <c r="T23" s="2"/>
      <c r="U23" s="2"/>
      <c r="V23" s="2"/>
      <c r="W23" s="2"/>
      <c r="X23" s="2"/>
      <c r="Y23" s="2"/>
      <c r="Z23" s="2"/>
      <c r="AA23" s="2"/>
      <c r="AB23" s="2"/>
      <c r="AC23" s="2"/>
      <c r="AD23" s="2"/>
      <c r="AE23" s="2"/>
    </row>
    <row r="24" spans="1:38" x14ac:dyDescent="0.25">
      <c r="A24" s="388">
        <v>4</v>
      </c>
      <c r="B24" s="389">
        <f t="shared" si="4"/>
        <v>0</v>
      </c>
      <c r="C24" s="383" t="e">
        <f t="shared" si="5"/>
        <v>#N/A</v>
      </c>
      <c r="D24" s="338" t="e">
        <f t="shared" si="6"/>
        <v>#N/A</v>
      </c>
      <c r="E24" s="338" t="e">
        <f t="shared" si="12"/>
        <v>#N/A</v>
      </c>
      <c r="F24" s="397" t="e">
        <f t="shared" si="7"/>
        <v>#N/A</v>
      </c>
      <c r="G24" s="396" t="e">
        <f t="shared" si="8"/>
        <v>#N/A</v>
      </c>
      <c r="H24" s="395" t="e">
        <f t="shared" si="9"/>
        <v>#N/A</v>
      </c>
      <c r="I24" s="371" t="e">
        <f t="shared" si="10"/>
        <v>#N/A</v>
      </c>
      <c r="J24" s="371"/>
      <c r="K24" s="371"/>
      <c r="L24" s="371" t="e">
        <f t="shared" si="13"/>
        <v>#N/A</v>
      </c>
      <c r="M24" s="396" t="e">
        <f t="shared" si="11"/>
        <v>#N/A</v>
      </c>
      <c r="N24" s="2"/>
      <c r="O24" s="2"/>
      <c r="P24" s="2"/>
      <c r="Q24" s="2"/>
      <c r="R24" s="2"/>
      <c r="S24" s="2"/>
      <c r="T24" s="2"/>
      <c r="U24" s="2"/>
      <c r="V24" s="2"/>
      <c r="W24" s="2"/>
      <c r="X24" s="2"/>
      <c r="Y24" s="2"/>
      <c r="Z24" s="2"/>
      <c r="AA24" s="2"/>
      <c r="AB24" s="2"/>
      <c r="AC24" s="2"/>
      <c r="AD24" s="2"/>
      <c r="AE24" s="2"/>
    </row>
    <row r="25" spans="1:38" x14ac:dyDescent="0.25">
      <c r="A25" s="388">
        <v>5</v>
      </c>
      <c r="B25" s="389">
        <f t="shared" si="4"/>
        <v>0</v>
      </c>
      <c r="C25" s="383" t="e">
        <f t="shared" si="5"/>
        <v>#N/A</v>
      </c>
      <c r="D25" s="338" t="e">
        <f t="shared" si="6"/>
        <v>#N/A</v>
      </c>
      <c r="E25" s="338" t="e">
        <f t="shared" si="12"/>
        <v>#N/A</v>
      </c>
      <c r="F25" s="397" t="e">
        <f t="shared" si="7"/>
        <v>#N/A</v>
      </c>
      <c r="G25" s="396" t="e">
        <f t="shared" si="8"/>
        <v>#N/A</v>
      </c>
      <c r="H25" s="395" t="e">
        <f t="shared" si="9"/>
        <v>#N/A</v>
      </c>
      <c r="I25" s="371" t="e">
        <f t="shared" si="10"/>
        <v>#N/A</v>
      </c>
      <c r="J25" s="371"/>
      <c r="K25" s="371"/>
      <c r="L25" s="371" t="e">
        <f t="shared" si="13"/>
        <v>#N/A</v>
      </c>
      <c r="M25" s="396" t="e">
        <f t="shared" si="11"/>
        <v>#N/A</v>
      </c>
      <c r="N25" s="2"/>
      <c r="O25" s="2"/>
      <c r="P25" s="2"/>
      <c r="Q25" s="2"/>
      <c r="R25" s="2"/>
      <c r="S25" s="2"/>
      <c r="T25" s="2"/>
      <c r="U25" s="2"/>
      <c r="V25" s="2"/>
      <c r="W25" s="2"/>
      <c r="X25" s="2"/>
      <c r="Y25" s="2"/>
      <c r="Z25" s="2"/>
      <c r="AA25" s="2"/>
      <c r="AB25" s="2"/>
      <c r="AC25" s="2"/>
      <c r="AD25" s="2"/>
      <c r="AE25" s="2"/>
    </row>
    <row r="26" spans="1:38" x14ac:dyDescent="0.25">
      <c r="A26" s="388">
        <v>6</v>
      </c>
      <c r="B26" s="389">
        <f t="shared" si="4"/>
        <v>0</v>
      </c>
      <c r="C26" s="383" t="e">
        <f t="shared" si="5"/>
        <v>#N/A</v>
      </c>
      <c r="D26" s="338" t="e">
        <f t="shared" si="6"/>
        <v>#N/A</v>
      </c>
      <c r="E26" s="338" t="e">
        <f t="shared" si="12"/>
        <v>#N/A</v>
      </c>
      <c r="F26" s="397" t="e">
        <f t="shared" si="7"/>
        <v>#N/A</v>
      </c>
      <c r="G26" s="396" t="e">
        <f t="shared" si="8"/>
        <v>#N/A</v>
      </c>
      <c r="H26" s="395" t="e">
        <f t="shared" si="9"/>
        <v>#N/A</v>
      </c>
      <c r="I26" s="371" t="e">
        <f t="shared" si="10"/>
        <v>#N/A</v>
      </c>
      <c r="J26" s="371"/>
      <c r="K26" s="371"/>
      <c r="L26" s="371" t="e">
        <f t="shared" si="13"/>
        <v>#N/A</v>
      </c>
      <c r="M26" s="396" t="e">
        <f t="shared" si="11"/>
        <v>#N/A</v>
      </c>
      <c r="N26" s="2"/>
      <c r="O26" s="2"/>
      <c r="P26" s="2"/>
      <c r="Q26" s="2"/>
      <c r="R26" s="2"/>
      <c r="S26" s="2"/>
      <c r="T26" s="2"/>
      <c r="U26" s="2"/>
      <c r="V26" s="2"/>
      <c r="W26" s="2"/>
      <c r="X26" s="2"/>
      <c r="Y26" s="2"/>
      <c r="Z26" s="2"/>
      <c r="AA26" s="2"/>
      <c r="AB26" s="2"/>
      <c r="AC26" s="2"/>
      <c r="AD26" s="2"/>
      <c r="AE26" s="2"/>
    </row>
    <row r="27" spans="1:38" x14ac:dyDescent="0.25">
      <c r="A27" s="388">
        <v>7</v>
      </c>
      <c r="B27" s="389">
        <f t="shared" si="4"/>
        <v>0</v>
      </c>
      <c r="C27" s="383" t="e">
        <f t="shared" si="5"/>
        <v>#N/A</v>
      </c>
      <c r="D27" s="338" t="e">
        <f t="shared" si="6"/>
        <v>#N/A</v>
      </c>
      <c r="E27" s="338" t="e">
        <f t="shared" si="12"/>
        <v>#N/A</v>
      </c>
      <c r="F27" s="397" t="e">
        <f t="shared" si="7"/>
        <v>#N/A</v>
      </c>
      <c r="G27" s="396" t="e">
        <f t="shared" si="8"/>
        <v>#N/A</v>
      </c>
      <c r="H27" s="395" t="e">
        <f t="shared" si="9"/>
        <v>#N/A</v>
      </c>
      <c r="I27" s="371" t="e">
        <f t="shared" si="10"/>
        <v>#N/A</v>
      </c>
      <c r="J27" s="371"/>
      <c r="K27" s="371"/>
      <c r="L27" s="371" t="e">
        <f t="shared" si="13"/>
        <v>#N/A</v>
      </c>
      <c r="M27" s="396" t="e">
        <f t="shared" si="11"/>
        <v>#N/A</v>
      </c>
      <c r="N27" s="2"/>
      <c r="O27" s="2"/>
      <c r="P27" s="2"/>
      <c r="Q27" s="2"/>
      <c r="R27" s="2"/>
      <c r="S27" s="2"/>
      <c r="T27" s="2"/>
      <c r="U27" s="2"/>
      <c r="V27" s="2"/>
      <c r="W27" s="2"/>
      <c r="X27" s="2"/>
      <c r="Y27" s="2"/>
      <c r="Z27" s="2"/>
      <c r="AA27" s="2"/>
      <c r="AB27" s="2"/>
      <c r="AC27" s="2"/>
      <c r="AD27" s="2"/>
      <c r="AE27" s="2"/>
    </row>
    <row r="28" spans="1:38" x14ac:dyDescent="0.25">
      <c r="A28" s="388">
        <v>8</v>
      </c>
      <c r="B28" s="389">
        <f t="shared" si="4"/>
        <v>0</v>
      </c>
      <c r="C28" s="383" t="e">
        <f t="shared" si="5"/>
        <v>#N/A</v>
      </c>
      <c r="D28" s="338" t="e">
        <f t="shared" si="6"/>
        <v>#N/A</v>
      </c>
      <c r="E28" s="338" t="e">
        <f t="shared" si="12"/>
        <v>#N/A</v>
      </c>
      <c r="F28" s="397" t="e">
        <f t="shared" si="7"/>
        <v>#N/A</v>
      </c>
      <c r="G28" s="396" t="e">
        <f t="shared" si="8"/>
        <v>#N/A</v>
      </c>
      <c r="H28" s="395" t="e">
        <f t="shared" si="9"/>
        <v>#N/A</v>
      </c>
      <c r="I28" s="371" t="e">
        <f t="shared" si="10"/>
        <v>#N/A</v>
      </c>
      <c r="J28" s="371"/>
      <c r="K28" s="371"/>
      <c r="L28" s="371" t="e">
        <f t="shared" si="13"/>
        <v>#N/A</v>
      </c>
      <c r="M28" s="396" t="e">
        <f t="shared" si="11"/>
        <v>#N/A</v>
      </c>
      <c r="N28" s="2"/>
      <c r="O28" s="2"/>
      <c r="P28" s="2"/>
      <c r="Q28" s="2"/>
      <c r="R28" s="2"/>
      <c r="S28" s="2"/>
      <c r="T28" s="2"/>
      <c r="U28" s="2"/>
      <c r="V28" s="2"/>
      <c r="W28" s="2"/>
      <c r="X28" s="2"/>
      <c r="Y28" s="2"/>
      <c r="Z28" s="2"/>
      <c r="AA28" s="2"/>
      <c r="AB28" s="2"/>
      <c r="AC28" s="2"/>
      <c r="AD28" s="2"/>
      <c r="AE28" s="2"/>
    </row>
    <row r="29" spans="1:38" x14ac:dyDescent="0.25">
      <c r="A29" s="388">
        <v>9</v>
      </c>
      <c r="B29" s="389">
        <f t="shared" si="4"/>
        <v>0</v>
      </c>
      <c r="C29" s="383" t="e">
        <f t="shared" si="5"/>
        <v>#N/A</v>
      </c>
      <c r="D29" s="338" t="e">
        <f t="shared" si="6"/>
        <v>#N/A</v>
      </c>
      <c r="E29" s="338" t="e">
        <f t="shared" si="12"/>
        <v>#N/A</v>
      </c>
      <c r="F29" s="397" t="e">
        <f t="shared" si="7"/>
        <v>#N/A</v>
      </c>
      <c r="G29" s="396" t="e">
        <f t="shared" si="8"/>
        <v>#N/A</v>
      </c>
      <c r="H29" s="395" t="e">
        <f t="shared" si="9"/>
        <v>#N/A</v>
      </c>
      <c r="I29" s="371" t="e">
        <f t="shared" si="10"/>
        <v>#N/A</v>
      </c>
      <c r="J29" s="371"/>
      <c r="K29" s="371"/>
      <c r="L29" s="371" t="e">
        <f t="shared" si="13"/>
        <v>#N/A</v>
      </c>
      <c r="M29" s="396" t="e">
        <f t="shared" si="11"/>
        <v>#N/A</v>
      </c>
    </row>
    <row r="30" spans="1:38" ht="15.75" thickBot="1" x14ac:dyDescent="0.3">
      <c r="A30" s="390">
        <v>10</v>
      </c>
      <c r="B30" s="391">
        <f t="shared" si="4"/>
        <v>0</v>
      </c>
      <c r="C30" s="384" t="e">
        <f t="shared" si="5"/>
        <v>#N/A</v>
      </c>
      <c r="D30" s="385" t="e">
        <f t="shared" si="6"/>
        <v>#N/A</v>
      </c>
      <c r="E30" s="385" t="e">
        <f t="shared" si="12"/>
        <v>#N/A</v>
      </c>
      <c r="F30" s="398" t="e">
        <f t="shared" si="7"/>
        <v>#N/A</v>
      </c>
      <c r="G30" s="399" t="e">
        <f t="shared" si="8"/>
        <v>#N/A</v>
      </c>
      <c r="H30" s="398" t="e">
        <f t="shared" si="9"/>
        <v>#N/A</v>
      </c>
      <c r="I30" s="400" t="e">
        <f t="shared" si="10"/>
        <v>#N/A</v>
      </c>
      <c r="J30" s="400"/>
      <c r="K30" s="400"/>
      <c r="L30" s="400" t="e">
        <f t="shared" si="13"/>
        <v>#N/A</v>
      </c>
      <c r="M30" s="401" t="e">
        <f t="shared" si="11"/>
        <v>#N/A</v>
      </c>
    </row>
    <row r="32" spans="1:38" ht="15.75" thickBot="1" x14ac:dyDescent="0.3">
      <c r="A32" s="318" t="s">
        <v>216</v>
      </c>
      <c r="C32" s="2"/>
      <c r="D32" s="2"/>
      <c r="E32" s="2"/>
      <c r="F32" s="2"/>
      <c r="G32" s="2"/>
      <c r="H32" s="2"/>
      <c r="I32" s="2"/>
      <c r="J32" s="2"/>
      <c r="K32" s="2"/>
      <c r="L32" s="2"/>
    </row>
    <row r="33" spans="1:12" x14ac:dyDescent="0.25">
      <c r="A33" s="342"/>
      <c r="B33" s="844" t="s">
        <v>222</v>
      </c>
      <c r="C33" s="845"/>
      <c r="D33" s="845"/>
      <c r="E33" s="846"/>
      <c r="F33" s="844" t="s">
        <v>223</v>
      </c>
      <c r="G33" s="845"/>
      <c r="H33" s="845"/>
      <c r="I33" s="846"/>
      <c r="J33" s="360"/>
      <c r="K33" s="361"/>
      <c r="L33" s="2"/>
    </row>
    <row r="34" spans="1:12" ht="26.25" x14ac:dyDescent="0.25">
      <c r="A34" s="341" t="s">
        <v>205</v>
      </c>
      <c r="B34" s="339" t="s">
        <v>204</v>
      </c>
      <c r="C34" s="319" t="s">
        <v>238</v>
      </c>
      <c r="D34" s="319" t="s">
        <v>247</v>
      </c>
      <c r="E34" s="340" t="s">
        <v>246</v>
      </c>
      <c r="F34" s="339" t="s">
        <v>204</v>
      </c>
      <c r="G34" s="319" t="s">
        <v>238</v>
      </c>
      <c r="H34" s="319" t="s">
        <v>247</v>
      </c>
      <c r="I34" s="340" t="s">
        <v>246</v>
      </c>
      <c r="J34" s="362" t="s">
        <v>236</v>
      </c>
      <c r="K34" s="363" t="s">
        <v>237</v>
      </c>
    </row>
    <row r="35" spans="1:12" x14ac:dyDescent="0.25">
      <c r="A35" s="346" t="s">
        <v>243</v>
      </c>
      <c r="B35" s="343">
        <v>10</v>
      </c>
      <c r="C35" s="356">
        <v>13</v>
      </c>
      <c r="D35" s="372">
        <v>90</v>
      </c>
      <c r="E35" s="376">
        <v>11</v>
      </c>
      <c r="F35" s="499"/>
      <c r="G35" s="500"/>
      <c r="H35" s="500"/>
      <c r="I35" s="501"/>
      <c r="J35" s="364">
        <f>IF(G35&gt;0,G35,C35)</f>
        <v>13</v>
      </c>
      <c r="K35" s="365">
        <f>IF(H35&gt;0,H35,D35)</f>
        <v>90</v>
      </c>
    </row>
    <row r="36" spans="1:12" x14ac:dyDescent="0.25">
      <c r="A36" s="347" t="s">
        <v>210</v>
      </c>
      <c r="B36" s="344">
        <v>55</v>
      </c>
      <c r="C36" s="357">
        <v>11</v>
      </c>
      <c r="D36" s="373">
        <v>80</v>
      </c>
      <c r="E36" s="377">
        <v>16</v>
      </c>
      <c r="F36" s="502"/>
      <c r="G36" s="503"/>
      <c r="H36" s="503"/>
      <c r="I36" s="504"/>
      <c r="J36" s="366">
        <f t="shared" ref="J36:J43" si="14">IF(G36&gt;0,G36,C36)</f>
        <v>11</v>
      </c>
      <c r="K36" s="367">
        <v>10</v>
      </c>
    </row>
    <row r="37" spans="1:12" x14ac:dyDescent="0.25">
      <c r="A37" s="347" t="s">
        <v>211</v>
      </c>
      <c r="B37" s="344">
        <v>65</v>
      </c>
      <c r="C37" s="357">
        <v>6</v>
      </c>
      <c r="D37" s="373">
        <v>85</v>
      </c>
      <c r="E37" s="377">
        <v>10</v>
      </c>
      <c r="F37" s="502"/>
      <c r="G37" s="503"/>
      <c r="H37" s="503"/>
      <c r="I37" s="504"/>
      <c r="J37" s="366">
        <f t="shared" si="14"/>
        <v>6</v>
      </c>
      <c r="K37" s="367">
        <f t="shared" ref="K37:K43" si="15">IF(H37&gt;0,H37,D37)</f>
        <v>85</v>
      </c>
    </row>
    <row r="38" spans="1:12" x14ac:dyDescent="0.25">
      <c r="A38" s="347" t="s">
        <v>208</v>
      </c>
      <c r="B38" s="344">
        <v>45</v>
      </c>
      <c r="C38" s="357">
        <v>10.5</v>
      </c>
      <c r="D38" s="373">
        <v>45</v>
      </c>
      <c r="E38" s="377">
        <v>18</v>
      </c>
      <c r="F38" s="502"/>
      <c r="G38" s="503"/>
      <c r="H38" s="503"/>
      <c r="I38" s="504"/>
      <c r="J38" s="366">
        <f t="shared" si="14"/>
        <v>10.5</v>
      </c>
      <c r="K38" s="367">
        <f t="shared" si="15"/>
        <v>45</v>
      </c>
    </row>
    <row r="39" spans="1:12" x14ac:dyDescent="0.25">
      <c r="A39" s="347" t="s">
        <v>209</v>
      </c>
      <c r="B39" s="344">
        <v>60</v>
      </c>
      <c r="C39" s="358">
        <v>11.5</v>
      </c>
      <c r="D39" s="373">
        <v>80</v>
      </c>
      <c r="E39" s="378">
        <v>18</v>
      </c>
      <c r="F39" s="505"/>
      <c r="G39" s="506"/>
      <c r="H39" s="507"/>
      <c r="I39" s="508"/>
      <c r="J39" s="366">
        <f t="shared" si="14"/>
        <v>11.5</v>
      </c>
      <c r="K39" s="367">
        <f t="shared" si="15"/>
        <v>80</v>
      </c>
    </row>
    <row r="40" spans="1:12" x14ac:dyDescent="0.25">
      <c r="A40" s="347" t="s">
        <v>207</v>
      </c>
      <c r="B40" s="344">
        <v>50</v>
      </c>
      <c r="C40" s="358">
        <v>12.5</v>
      </c>
      <c r="D40" s="373">
        <v>45</v>
      </c>
      <c r="E40" s="378">
        <v>20</v>
      </c>
      <c r="F40" s="505"/>
      <c r="G40" s="506"/>
      <c r="H40" s="507"/>
      <c r="I40" s="508"/>
      <c r="J40" s="366">
        <f t="shared" si="14"/>
        <v>12.5</v>
      </c>
      <c r="K40" s="367">
        <f t="shared" si="15"/>
        <v>45</v>
      </c>
    </row>
    <row r="41" spans="1:12" x14ac:dyDescent="0.25">
      <c r="A41" s="347" t="s">
        <v>245</v>
      </c>
      <c r="B41" s="344">
        <v>30</v>
      </c>
      <c r="C41" s="358">
        <v>12</v>
      </c>
      <c r="D41" s="374">
        <v>90</v>
      </c>
      <c r="E41" s="378">
        <v>15</v>
      </c>
      <c r="F41" s="505"/>
      <c r="G41" s="509"/>
      <c r="H41" s="507"/>
      <c r="I41" s="508"/>
      <c r="J41" s="366">
        <f t="shared" si="14"/>
        <v>12</v>
      </c>
      <c r="K41" s="367">
        <f t="shared" si="15"/>
        <v>90</v>
      </c>
    </row>
    <row r="42" spans="1:12" x14ac:dyDescent="0.25">
      <c r="A42" s="347" t="s">
        <v>66</v>
      </c>
      <c r="B42" s="344">
        <v>65</v>
      </c>
      <c r="C42" s="358">
        <v>9</v>
      </c>
      <c r="D42" s="374">
        <v>85</v>
      </c>
      <c r="E42" s="378">
        <v>8</v>
      </c>
      <c r="F42" s="505"/>
      <c r="G42" s="509"/>
      <c r="H42" s="507"/>
      <c r="I42" s="508"/>
      <c r="J42" s="366">
        <f t="shared" si="14"/>
        <v>9</v>
      </c>
      <c r="K42" s="367">
        <f t="shared" si="15"/>
        <v>85</v>
      </c>
    </row>
    <row r="43" spans="1:12" ht="15.75" thickBot="1" x14ac:dyDescent="0.3">
      <c r="A43" s="348" t="s">
        <v>244</v>
      </c>
      <c r="B43" s="345">
        <v>10</v>
      </c>
      <c r="C43" s="359">
        <v>12.5</v>
      </c>
      <c r="D43" s="375">
        <v>90</v>
      </c>
      <c r="E43" s="379">
        <v>11</v>
      </c>
      <c r="F43" s="510"/>
      <c r="G43" s="511"/>
      <c r="H43" s="512"/>
      <c r="I43" s="513"/>
      <c r="J43" s="368">
        <f t="shared" si="14"/>
        <v>12.5</v>
      </c>
      <c r="K43" s="369">
        <f t="shared" si="15"/>
        <v>90</v>
      </c>
    </row>
    <row r="45" spans="1:12" x14ac:dyDescent="0.25">
      <c r="A45" s="351" t="s">
        <v>98</v>
      </c>
      <c r="B45" s="352"/>
    </row>
    <row r="46" spans="1:12" x14ac:dyDescent="0.25">
      <c r="A46" s="353" t="s">
        <v>96</v>
      </c>
      <c r="B46" s="353">
        <v>85</v>
      </c>
    </row>
    <row r="47" spans="1:12" x14ac:dyDescent="0.25">
      <c r="A47" s="349" t="s">
        <v>95</v>
      </c>
      <c r="B47" s="349">
        <v>95</v>
      </c>
    </row>
    <row r="48" spans="1:12" x14ac:dyDescent="0.25">
      <c r="A48" s="349" t="s">
        <v>241</v>
      </c>
      <c r="B48" s="349">
        <v>80</v>
      </c>
    </row>
    <row r="49" spans="1:2" x14ac:dyDescent="0.25">
      <c r="A49" s="349" t="s">
        <v>242</v>
      </c>
      <c r="B49" s="349">
        <v>70</v>
      </c>
    </row>
    <row r="50" spans="1:2" x14ac:dyDescent="0.25">
      <c r="A50" s="350" t="s">
        <v>97</v>
      </c>
      <c r="B50" s="350">
        <v>90</v>
      </c>
    </row>
  </sheetData>
  <mergeCells count="6">
    <mergeCell ref="A1:Q2"/>
    <mergeCell ref="B33:E33"/>
    <mergeCell ref="F33:I33"/>
    <mergeCell ref="C19:E19"/>
    <mergeCell ref="F19:G19"/>
    <mergeCell ref="H19:M19"/>
  </mergeCells>
  <dataValidations count="2">
    <dataValidation type="list" allowBlank="1" showInputMessage="1" showErrorMessage="1" sqref="Q7:Q16" xr:uid="{00000000-0002-0000-0600-000000000000}">
      <formula1>$A$46:$A$50</formula1>
    </dataValidation>
    <dataValidation type="list" allowBlank="1" showInputMessage="1" showErrorMessage="1" sqref="O7:O16" xr:uid="{00000000-0002-0000-0600-000001000000}">
      <formula1>$A$35:$A$43</formula1>
    </dataValidation>
  </dataValidations>
  <hyperlinks>
    <hyperlink ref="A3" location="Instructions!A111" display="Instructions" xr:uid="{00000000-0004-0000-0600-000000000000}"/>
  </hyperlinks>
  <pageMargins left="0.7" right="0.7" top="0.75" bottom="0.75" header="0.3" footer="0.3"/>
  <pageSetup paperSize="9" orientation="portrait" r:id="rId1"/>
  <ignoredErrors>
    <ignoredError sqref="I7:I10" formulaRange="1"/>
    <ignoredError sqref="E23" evalErro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BBDD-B389-420D-ADFF-2D38D64654D3}">
  <sheetPr>
    <tabColor rgb="FF00B0F0"/>
  </sheetPr>
  <dimension ref="A1:AO34"/>
  <sheetViews>
    <sheetView topLeftCell="A2" workbookViewId="0">
      <selection activeCell="B15" sqref="B15"/>
    </sheetView>
  </sheetViews>
  <sheetFormatPr defaultRowHeight="12.75" x14ac:dyDescent="0.2"/>
  <cols>
    <col min="1" max="1" width="22" style="675" customWidth="1"/>
    <col min="2" max="9" width="9.33203125" style="675"/>
    <col min="10" max="10" width="10.33203125" style="675" bestFit="1" customWidth="1"/>
    <col min="11" max="16384" width="9.33203125" style="675"/>
  </cols>
  <sheetData>
    <row r="1" spans="1:41" ht="15.75" x14ac:dyDescent="0.25">
      <c r="A1" s="818" t="s">
        <v>378</v>
      </c>
    </row>
    <row r="2" spans="1:41" ht="13.5" thickBot="1" x14ac:dyDescent="0.25">
      <c r="A2" s="674"/>
    </row>
    <row r="3" spans="1:41" s="674" customFormat="1" x14ac:dyDescent="0.2">
      <c r="A3" s="876" t="s">
        <v>372</v>
      </c>
      <c r="B3" s="877"/>
      <c r="C3" s="877"/>
      <c r="D3" s="878"/>
      <c r="F3" s="869" t="s">
        <v>520</v>
      </c>
      <c r="G3" s="870"/>
      <c r="H3" s="870"/>
      <c r="I3" s="870"/>
      <c r="J3" s="871"/>
      <c r="L3" s="869" t="s">
        <v>561</v>
      </c>
      <c r="M3" s="870"/>
      <c r="N3" s="870"/>
      <c r="O3" s="870"/>
      <c r="P3" s="871"/>
      <c r="R3" s="869" t="s">
        <v>383</v>
      </c>
      <c r="S3" s="870"/>
      <c r="T3" s="870"/>
      <c r="U3" s="870"/>
      <c r="V3" s="871"/>
    </row>
    <row r="4" spans="1:41" s="674" customFormat="1" x14ac:dyDescent="0.2">
      <c r="A4" s="676" t="s">
        <v>380</v>
      </c>
      <c r="B4" s="677" t="s">
        <v>379</v>
      </c>
      <c r="C4" s="677" t="s">
        <v>315</v>
      </c>
      <c r="D4" s="678" t="s">
        <v>364</v>
      </c>
      <c r="F4" s="872" t="s">
        <v>380</v>
      </c>
      <c r="G4" s="873"/>
      <c r="H4" s="679" t="s">
        <v>379</v>
      </c>
      <c r="I4" s="679" t="s">
        <v>315</v>
      </c>
      <c r="J4" s="680" t="s">
        <v>364</v>
      </c>
      <c r="L4" s="872" t="s">
        <v>380</v>
      </c>
      <c r="M4" s="873"/>
      <c r="N4" s="679" t="s">
        <v>379</v>
      </c>
      <c r="O4" s="679" t="s">
        <v>315</v>
      </c>
      <c r="P4" s="680" t="s">
        <v>364</v>
      </c>
      <c r="R4" s="872" t="s">
        <v>380</v>
      </c>
      <c r="S4" s="873"/>
      <c r="T4" s="679" t="s">
        <v>379</v>
      </c>
      <c r="U4" s="679" t="s">
        <v>315</v>
      </c>
      <c r="V4" s="680" t="s">
        <v>364</v>
      </c>
    </row>
    <row r="5" spans="1:41" x14ac:dyDescent="0.2">
      <c r="A5" s="681" t="s">
        <v>373</v>
      </c>
      <c r="B5" s="682">
        <v>25</v>
      </c>
      <c r="C5" s="682">
        <v>85</v>
      </c>
      <c r="D5" s="683">
        <f t="shared" ref="D5:D11" si="0">B5*C5</f>
        <v>2125</v>
      </c>
      <c r="F5" s="874" t="s">
        <v>522</v>
      </c>
      <c r="G5" s="875"/>
      <c r="H5" s="684">
        <v>15</v>
      </c>
      <c r="I5" s="684">
        <v>85</v>
      </c>
      <c r="J5" s="685">
        <f t="shared" ref="J5:J11" si="1">H5*I5</f>
        <v>1275</v>
      </c>
      <c r="L5" s="874" t="s">
        <v>521</v>
      </c>
      <c r="M5" s="875"/>
      <c r="N5" s="684">
        <v>0</v>
      </c>
      <c r="O5" s="684">
        <v>0</v>
      </c>
      <c r="P5" s="685">
        <f t="shared" ref="P5:P11" si="2">N5*O5</f>
        <v>0</v>
      </c>
      <c r="R5" s="874" t="s">
        <v>508</v>
      </c>
      <c r="S5" s="875"/>
      <c r="T5" s="684"/>
      <c r="U5" s="684"/>
      <c r="V5" s="685">
        <f t="shared" ref="V5:V11" si="3">T5*U5</f>
        <v>0</v>
      </c>
    </row>
    <row r="6" spans="1:41" x14ac:dyDescent="0.2">
      <c r="A6" s="686" t="s">
        <v>566</v>
      </c>
      <c r="B6" s="687">
        <v>2</v>
      </c>
      <c r="C6" s="687">
        <v>120</v>
      </c>
      <c r="D6" s="688">
        <f t="shared" si="0"/>
        <v>240</v>
      </c>
      <c r="F6" s="863" t="s">
        <v>374</v>
      </c>
      <c r="G6" s="864"/>
      <c r="H6" s="689"/>
      <c r="I6" s="689"/>
      <c r="J6" s="690">
        <f t="shared" si="1"/>
        <v>0</v>
      </c>
      <c r="L6" s="863" t="s">
        <v>374</v>
      </c>
      <c r="M6" s="864"/>
      <c r="N6" s="689"/>
      <c r="O6" s="689"/>
      <c r="P6" s="690">
        <f t="shared" si="2"/>
        <v>0</v>
      </c>
      <c r="R6" s="863" t="s">
        <v>374</v>
      </c>
      <c r="S6" s="864"/>
      <c r="T6" s="689"/>
      <c r="U6" s="689"/>
      <c r="V6" s="690">
        <f t="shared" si="3"/>
        <v>0</v>
      </c>
    </row>
    <row r="7" spans="1:41" x14ac:dyDescent="0.2">
      <c r="A7" s="686" t="s">
        <v>567</v>
      </c>
      <c r="B7" s="687">
        <v>2</v>
      </c>
      <c r="C7" s="687">
        <v>120</v>
      </c>
      <c r="D7" s="688">
        <f t="shared" si="0"/>
        <v>240</v>
      </c>
      <c r="F7" s="863" t="s">
        <v>375</v>
      </c>
      <c r="G7" s="864"/>
      <c r="H7" s="689">
        <v>1</v>
      </c>
      <c r="I7" s="689">
        <v>150</v>
      </c>
      <c r="J7" s="690">
        <f t="shared" si="1"/>
        <v>150</v>
      </c>
      <c r="L7" s="863" t="s">
        <v>375</v>
      </c>
      <c r="M7" s="864"/>
      <c r="N7" s="689"/>
      <c r="O7" s="689"/>
      <c r="P7" s="690">
        <f t="shared" si="2"/>
        <v>0</v>
      </c>
      <c r="R7" s="863" t="s">
        <v>375</v>
      </c>
      <c r="S7" s="864"/>
      <c r="T7" s="689"/>
      <c r="U7" s="689"/>
      <c r="V7" s="690">
        <f t="shared" si="3"/>
        <v>0</v>
      </c>
    </row>
    <row r="8" spans="1:41" x14ac:dyDescent="0.2">
      <c r="A8" s="686" t="s">
        <v>568</v>
      </c>
      <c r="B8" s="687">
        <v>1</v>
      </c>
      <c r="C8" s="687">
        <v>150</v>
      </c>
      <c r="D8" s="688">
        <f t="shared" si="0"/>
        <v>150</v>
      </c>
      <c r="F8" s="863" t="s">
        <v>376</v>
      </c>
      <c r="G8" s="864"/>
      <c r="H8" s="689"/>
      <c r="I8" s="689"/>
      <c r="J8" s="690">
        <f t="shared" si="1"/>
        <v>0</v>
      </c>
      <c r="L8" s="863" t="s">
        <v>376</v>
      </c>
      <c r="M8" s="864"/>
      <c r="N8" s="689"/>
      <c r="O8" s="689"/>
      <c r="P8" s="690">
        <f t="shared" si="2"/>
        <v>0</v>
      </c>
      <c r="R8" s="863" t="s">
        <v>376</v>
      </c>
      <c r="S8" s="864"/>
      <c r="T8" s="689"/>
      <c r="U8" s="689"/>
      <c r="V8" s="690">
        <f t="shared" si="3"/>
        <v>0</v>
      </c>
    </row>
    <row r="9" spans="1:41" x14ac:dyDescent="0.2">
      <c r="A9" s="686" t="s">
        <v>360</v>
      </c>
      <c r="B9" s="687">
        <v>0</v>
      </c>
      <c r="C9" s="687">
        <v>120</v>
      </c>
      <c r="D9" s="688">
        <f t="shared" si="0"/>
        <v>0</v>
      </c>
      <c r="F9" s="863" t="s">
        <v>360</v>
      </c>
      <c r="G9" s="864"/>
      <c r="H9" s="689"/>
      <c r="I9" s="689"/>
      <c r="J9" s="690">
        <f t="shared" si="1"/>
        <v>0</v>
      </c>
      <c r="L9" s="863" t="s">
        <v>360</v>
      </c>
      <c r="M9" s="864"/>
      <c r="N9" s="689"/>
      <c r="O9" s="689"/>
      <c r="P9" s="690">
        <f t="shared" si="2"/>
        <v>0</v>
      </c>
      <c r="R9" s="863" t="s">
        <v>360</v>
      </c>
      <c r="S9" s="864"/>
      <c r="T9" s="689"/>
      <c r="U9" s="689"/>
      <c r="V9" s="690">
        <f t="shared" si="3"/>
        <v>0</v>
      </c>
    </row>
    <row r="10" spans="1:41" x14ac:dyDescent="0.2">
      <c r="A10" s="686" t="s">
        <v>377</v>
      </c>
      <c r="B10" s="687"/>
      <c r="C10" s="687"/>
      <c r="D10" s="688">
        <f t="shared" si="0"/>
        <v>0</v>
      </c>
      <c r="F10" s="863" t="s">
        <v>377</v>
      </c>
      <c r="G10" s="864"/>
      <c r="H10" s="689"/>
      <c r="I10" s="689"/>
      <c r="J10" s="690">
        <f t="shared" si="1"/>
        <v>0</v>
      </c>
      <c r="L10" s="863" t="s">
        <v>377</v>
      </c>
      <c r="M10" s="864"/>
      <c r="N10" s="689"/>
      <c r="O10" s="689"/>
      <c r="P10" s="690">
        <f t="shared" si="2"/>
        <v>0</v>
      </c>
      <c r="R10" s="863" t="s">
        <v>377</v>
      </c>
      <c r="S10" s="864"/>
      <c r="T10" s="689"/>
      <c r="U10" s="689"/>
      <c r="V10" s="690">
        <f t="shared" si="3"/>
        <v>0</v>
      </c>
    </row>
    <row r="11" spans="1:41" ht="13.5" thickBot="1" x14ac:dyDescent="0.25">
      <c r="A11" s="691" t="s">
        <v>377</v>
      </c>
      <c r="B11" s="692"/>
      <c r="C11" s="692"/>
      <c r="D11" s="693">
        <f t="shared" si="0"/>
        <v>0</v>
      </c>
      <c r="F11" s="865" t="s">
        <v>377</v>
      </c>
      <c r="G11" s="866"/>
      <c r="H11" s="694"/>
      <c r="I11" s="694"/>
      <c r="J11" s="695">
        <f t="shared" si="1"/>
        <v>0</v>
      </c>
      <c r="L11" s="865" t="s">
        <v>377</v>
      </c>
      <c r="M11" s="866"/>
      <c r="N11" s="694"/>
      <c r="O11" s="694"/>
      <c r="P11" s="695">
        <f t="shared" si="2"/>
        <v>0</v>
      </c>
      <c r="R11" s="865" t="s">
        <v>377</v>
      </c>
      <c r="S11" s="866"/>
      <c r="T11" s="694"/>
      <c r="U11" s="694"/>
      <c r="V11" s="695">
        <f t="shared" si="3"/>
        <v>0</v>
      </c>
      <c r="Y11" s="675">
        <v>12</v>
      </c>
      <c r="Z11" s="719">
        <f>Y11/$Y$14</f>
        <v>0.23529411764705882</v>
      </c>
    </row>
    <row r="12" spans="1:41" ht="13.5" thickBot="1" x14ac:dyDescent="0.25">
      <c r="A12" s="696"/>
      <c r="B12" s="697"/>
      <c r="C12" s="698"/>
      <c r="D12" s="699">
        <f>SUM(D4:D11)</f>
        <v>2755</v>
      </c>
      <c r="F12" s="867"/>
      <c r="G12" s="868"/>
      <c r="H12" s="700"/>
      <c r="I12" s="701"/>
      <c r="J12" s="699">
        <f>SUM(J4:J11)</f>
        <v>1425</v>
      </c>
      <c r="L12" s="867"/>
      <c r="M12" s="868"/>
      <c r="N12" s="700"/>
      <c r="O12" s="701"/>
      <c r="P12" s="699">
        <f>SUM(P4:P11)</f>
        <v>0</v>
      </c>
      <c r="R12" s="867"/>
      <c r="S12" s="868"/>
      <c r="T12" s="700"/>
      <c r="U12" s="701"/>
      <c r="V12" s="699">
        <f>SUM(V4:V11)</f>
        <v>0</v>
      </c>
      <c r="Y12" s="675">
        <v>27</v>
      </c>
      <c r="Z12" s="719">
        <f t="shared" ref="Z12:Z13" si="4">Y12/$Y$14</f>
        <v>0.52941176470588236</v>
      </c>
    </row>
    <row r="13" spans="1:41" ht="13.5" thickBot="1" x14ac:dyDescent="0.25">
      <c r="Y13" s="675">
        <v>12</v>
      </c>
      <c r="Z13" s="719">
        <f t="shared" si="4"/>
        <v>0.23529411764705882</v>
      </c>
    </row>
    <row r="14" spans="1:41" ht="13.5" thickBot="1" x14ac:dyDescent="0.25">
      <c r="A14" s="854" t="s">
        <v>386</v>
      </c>
      <c r="B14" s="855"/>
      <c r="C14" s="855"/>
      <c r="D14" s="855"/>
      <c r="E14" s="855"/>
      <c r="F14" s="856"/>
      <c r="H14" s="854" t="s">
        <v>387</v>
      </c>
      <c r="I14" s="855"/>
      <c r="J14" s="855"/>
      <c r="K14" s="855"/>
      <c r="L14" s="855"/>
      <c r="M14" s="855"/>
      <c r="N14" s="855"/>
      <c r="O14" s="855"/>
      <c r="P14" s="855"/>
      <c r="Q14" s="855"/>
      <c r="R14" s="855"/>
      <c r="S14" s="855"/>
      <c r="T14" s="855"/>
      <c r="U14" s="855"/>
      <c r="V14" s="856"/>
      <c r="Y14" s="675">
        <f>SUM(Y11:Y13)</f>
        <v>51</v>
      </c>
      <c r="AD14" s="675" t="s">
        <v>534</v>
      </c>
      <c r="AE14" s="675">
        <v>315</v>
      </c>
    </row>
    <row r="15" spans="1:41" ht="13.5" thickBot="1" x14ac:dyDescent="0.25">
      <c r="A15" s="702" t="s">
        <v>558</v>
      </c>
      <c r="B15" s="782">
        <f>'P1 Area'!B7+'P1 Area'!B10+'P1 Area'!B13+'P1 Area'!B14+'P1 Area'!B15+'P1 Area'!B16+'P1 Area'!B18+'P1 Area'!B20+'P1 Area'!B22+'P1 Area'!B23</f>
        <v>0</v>
      </c>
      <c r="C15" s="704" t="str">
        <f>F3</f>
        <v>Normal Oversow</v>
      </c>
      <c r="D15" s="704"/>
      <c r="E15" s="703">
        <f>IF(C15=$A$3,$D$12,IF(C15=$F$3,$J$12,IF(C15=$L$3,$P$12,IF(C15=$R$3,$V$12,0))))</f>
        <v>1425</v>
      </c>
      <c r="F15" s="705">
        <f>B15*E15</f>
        <v>0</v>
      </c>
      <c r="G15" s="706"/>
      <c r="H15" s="857" t="s">
        <v>388</v>
      </c>
      <c r="I15" s="858"/>
      <c r="J15" s="707" t="s">
        <v>0</v>
      </c>
      <c r="K15" s="707" t="str">
        <f>'P1 Supps'!D71</f>
        <v>Mar</v>
      </c>
      <c r="L15" s="707" t="str">
        <f>'P1 Supps'!E71</f>
        <v>Apr</v>
      </c>
      <c r="M15" s="707" t="str">
        <f>'P1 Supps'!F71</f>
        <v>May</v>
      </c>
      <c r="N15" s="707" t="str">
        <f>'P1 Supps'!G71</f>
        <v>Jun</v>
      </c>
      <c r="O15" s="707" t="str">
        <f>'P1 Supps'!H71</f>
        <v>Jul</v>
      </c>
      <c r="P15" s="707" t="str">
        <f>'P1 Supps'!I71</f>
        <v>Aug</v>
      </c>
      <c r="Q15" s="707" t="str">
        <f>'P1 Supps'!J71</f>
        <v>Sep</v>
      </c>
      <c r="R15" s="707" t="str">
        <f>'P1 Supps'!K71</f>
        <v>Oct</v>
      </c>
      <c r="S15" s="707" t="str">
        <f>'P1 Supps'!L71</f>
        <v>Nov</v>
      </c>
      <c r="T15" s="707" t="str">
        <f>'P1 Supps'!M71</f>
        <v>Dec</v>
      </c>
      <c r="U15" s="707" t="str">
        <f>'P1 Supps'!N71</f>
        <v>Jan</v>
      </c>
      <c r="V15" s="708" t="str">
        <f>'P1 Supps'!O71</f>
        <v>Feb</v>
      </c>
      <c r="X15" s="675" t="s">
        <v>402</v>
      </c>
      <c r="Y15" s="675" t="s">
        <v>41</v>
      </c>
      <c r="Z15" s="675" t="s">
        <v>389</v>
      </c>
      <c r="AD15" s="707" t="str">
        <f>K15</f>
        <v>Mar</v>
      </c>
      <c r="AE15" s="707" t="str">
        <f t="shared" ref="AE15:AO15" si="5">L15</f>
        <v>Apr</v>
      </c>
      <c r="AF15" s="707" t="str">
        <f t="shared" si="5"/>
        <v>May</v>
      </c>
      <c r="AG15" s="707" t="str">
        <f t="shared" si="5"/>
        <v>Jun</v>
      </c>
      <c r="AH15" s="707" t="str">
        <f t="shared" si="5"/>
        <v>Jul</v>
      </c>
      <c r="AI15" s="707" t="str">
        <f t="shared" si="5"/>
        <v>Aug</v>
      </c>
      <c r="AJ15" s="707" t="str">
        <f t="shared" si="5"/>
        <v>Sep</v>
      </c>
      <c r="AK15" s="707" t="str">
        <f t="shared" si="5"/>
        <v>Oct</v>
      </c>
      <c r="AL15" s="707" t="str">
        <f t="shared" si="5"/>
        <v>Nov</v>
      </c>
      <c r="AM15" s="707" t="str">
        <f t="shared" si="5"/>
        <v>Dec</v>
      </c>
      <c r="AN15" s="707" t="str">
        <f t="shared" si="5"/>
        <v>Jan</v>
      </c>
      <c r="AO15" s="707" t="str">
        <f t="shared" si="5"/>
        <v>Feb</v>
      </c>
    </row>
    <row r="16" spans="1:41" x14ac:dyDescent="0.2">
      <c r="A16" s="709" t="s">
        <v>559</v>
      </c>
      <c r="B16" s="643">
        <f>'P1 Area'!B8+'P1 Area'!B9+'P1 Area'!B11+'P1 Area'!B21</f>
        <v>0</v>
      </c>
      <c r="C16" s="711" t="str">
        <f>A3</f>
        <v>Renovation Mix</v>
      </c>
      <c r="D16" s="711"/>
      <c r="E16" s="710">
        <f t="shared" ref="E16:E20" si="6">IF(C16=$A$3,$D$12,IF(C16=$F$3,$J$12,IF(C16=$L$3,$P$12,IF(C16=$R$3,$V$12,0))))</f>
        <v>2755</v>
      </c>
      <c r="F16" s="712">
        <f t="shared" ref="F16:F20" si="7">B16*E16</f>
        <v>0</v>
      </c>
      <c r="G16" s="706"/>
      <c r="H16" s="850" t="s">
        <v>569</v>
      </c>
      <c r="I16" s="851"/>
      <c r="J16" s="713">
        <f>SUM(K16:V16)</f>
        <v>31000</v>
      </c>
      <c r="K16" s="714">
        <v>11000</v>
      </c>
      <c r="L16" s="714"/>
      <c r="M16" s="714"/>
      <c r="N16" s="714"/>
      <c r="O16" s="714"/>
      <c r="P16" s="714">
        <v>20000</v>
      </c>
      <c r="Q16" s="714"/>
      <c r="R16" s="714"/>
      <c r="S16" s="714"/>
      <c r="T16" s="714"/>
      <c r="U16" s="714"/>
      <c r="V16" s="715"/>
      <c r="X16" s="675" t="s">
        <v>403</v>
      </c>
      <c r="Y16" s="675">
        <v>5850</v>
      </c>
      <c r="AC16" s="675" t="s">
        <v>399</v>
      </c>
      <c r="AD16" s="714">
        <v>35</v>
      </c>
      <c r="AE16" s="714">
        <v>23</v>
      </c>
      <c r="AF16" s="714">
        <v>23</v>
      </c>
      <c r="AG16" s="714">
        <v>23</v>
      </c>
      <c r="AH16" s="714">
        <v>0</v>
      </c>
      <c r="AI16" s="714">
        <v>23</v>
      </c>
      <c r="AJ16" s="714">
        <v>23</v>
      </c>
      <c r="AK16" s="714">
        <v>23</v>
      </c>
      <c r="AL16" s="714">
        <f>65*Y21</f>
        <v>7.8</v>
      </c>
      <c r="AM16" s="714">
        <v>23</v>
      </c>
      <c r="AN16" s="714">
        <v>23</v>
      </c>
      <c r="AO16" s="715">
        <v>23</v>
      </c>
    </row>
    <row r="17" spans="1:41" x14ac:dyDescent="0.2">
      <c r="A17" s="709" t="s">
        <v>560</v>
      </c>
      <c r="B17" s="643">
        <f>'P1 Area'!B19+'P1 Area'!B17</f>
        <v>0</v>
      </c>
      <c r="C17" s="711" t="str">
        <f>L3</f>
        <v>Nothing</v>
      </c>
      <c r="D17" s="711"/>
      <c r="E17" s="710">
        <f t="shared" si="6"/>
        <v>0</v>
      </c>
      <c r="F17" s="712">
        <f t="shared" si="7"/>
        <v>0</v>
      </c>
      <c r="G17" s="706"/>
      <c r="H17" s="852"/>
      <c r="I17" s="853"/>
      <c r="J17" s="716"/>
      <c r="K17" s="717"/>
      <c r="L17" s="717"/>
      <c r="M17" s="717"/>
      <c r="N17" s="717"/>
      <c r="O17" s="717"/>
      <c r="P17" s="717"/>
      <c r="Q17" s="717"/>
      <c r="R17" s="717"/>
      <c r="S17" s="717"/>
      <c r="T17" s="717"/>
      <c r="U17" s="717"/>
      <c r="V17" s="718"/>
      <c r="X17" s="675" t="s">
        <v>399</v>
      </c>
      <c r="Y17" s="719">
        <v>0.46</v>
      </c>
      <c r="Z17" s="720">
        <f>Y16/Y17/1000</f>
        <v>12.717391304347826</v>
      </c>
      <c r="AC17" s="675" t="s">
        <v>536</v>
      </c>
      <c r="AD17" s="796">
        <v>52</v>
      </c>
      <c r="AE17" s="796"/>
      <c r="AF17" s="796"/>
      <c r="AG17" s="796"/>
      <c r="AH17" s="796"/>
      <c r="AI17" s="796"/>
      <c r="AJ17" s="796"/>
      <c r="AK17" s="796"/>
      <c r="AL17" s="796">
        <f>65*Y22</f>
        <v>33.800000000000004</v>
      </c>
      <c r="AM17" s="796"/>
      <c r="AN17" s="796"/>
      <c r="AO17" s="796"/>
    </row>
    <row r="18" spans="1:41" x14ac:dyDescent="0.2">
      <c r="A18" s="709"/>
      <c r="B18" s="643"/>
      <c r="C18" s="711" t="str">
        <f>L3</f>
        <v>Nothing</v>
      </c>
      <c r="D18" s="711"/>
      <c r="E18" s="710">
        <f t="shared" si="6"/>
        <v>0</v>
      </c>
      <c r="F18" s="712">
        <f t="shared" si="7"/>
        <v>0</v>
      </c>
      <c r="G18" s="706"/>
      <c r="H18" s="721" t="s">
        <v>392</v>
      </c>
      <c r="I18" s="722"/>
      <c r="J18" s="716"/>
      <c r="K18" s="723"/>
      <c r="L18" s="723">
        <f>L16*'P1 Area'!R22+'P1 S&amp;F'!L17*'P1 Area'!R23</f>
        <v>0</v>
      </c>
      <c r="M18" s="723">
        <f>M16*'P1 Area'!S22+'P1 S&amp;F'!M17*'P1 Area'!S23</f>
        <v>0</v>
      </c>
      <c r="N18" s="723">
        <f>N16*'P1 Area'!T22+'P1 S&amp;F'!N17*'P1 Area'!T23</f>
        <v>0</v>
      </c>
      <c r="O18" s="723">
        <f>O16*'P1 Area'!U22+'P1 S&amp;F'!O17*'P1 Area'!U23</f>
        <v>0</v>
      </c>
      <c r="P18" s="723"/>
      <c r="Q18" s="723">
        <f>Q16*'P1 Area'!W22+'P1 S&amp;F'!Q17*'P1 Area'!W23</f>
        <v>0</v>
      </c>
      <c r="R18" s="723">
        <f>R16*'P1 Area'!X22+'P1 S&amp;F'!R17*'P1 Area'!X23</f>
        <v>0</v>
      </c>
      <c r="S18" s="723">
        <f>S16*'P1 Area'!Y22+'P1 S&amp;F'!S17*'P1 Area'!Y23</f>
        <v>0</v>
      </c>
      <c r="T18" s="723">
        <f>T16*'P1 Area'!Z22+'P1 S&amp;F'!T17*'P1 Area'!Z23</f>
        <v>0</v>
      </c>
      <c r="U18" s="723">
        <f>U16*'P1 Area'!AA22+'P1 S&amp;F'!U17*'P1 Area'!AA23</f>
        <v>0</v>
      </c>
      <c r="V18" s="724">
        <f>V16*'P1 Area'!AB22+'P1 S&amp;F'!V17*'P1 Area'!AB23</f>
        <v>0</v>
      </c>
      <c r="Z18" s="719"/>
      <c r="AC18" s="675" t="s">
        <v>512</v>
      </c>
      <c r="AD18" s="675">
        <v>10</v>
      </c>
      <c r="AE18" s="675">
        <f>AD18</f>
        <v>10</v>
      </c>
      <c r="AF18" s="675">
        <f t="shared" ref="AF18:AG18" si="8">AE18</f>
        <v>10</v>
      </c>
      <c r="AG18" s="675">
        <f t="shared" si="8"/>
        <v>10</v>
      </c>
      <c r="AH18" s="675">
        <v>0</v>
      </c>
      <c r="AI18" s="675">
        <f>AG18</f>
        <v>10</v>
      </c>
      <c r="AJ18" s="675">
        <f>AI18</f>
        <v>10</v>
      </c>
      <c r="AK18" s="675">
        <f t="shared" ref="AK18" si="9">AI18</f>
        <v>10</v>
      </c>
      <c r="AM18" s="675">
        <f>AK18</f>
        <v>10</v>
      </c>
      <c r="AN18" s="675">
        <f>AM18</f>
        <v>10</v>
      </c>
      <c r="AO18" s="675">
        <f>AN18</f>
        <v>10</v>
      </c>
    </row>
    <row r="19" spans="1:41" ht="13.5" thickBot="1" x14ac:dyDescent="0.25">
      <c r="A19" s="709"/>
      <c r="B19" s="643"/>
      <c r="C19" s="711" t="str">
        <f>L3</f>
        <v>Nothing</v>
      </c>
      <c r="D19" s="711"/>
      <c r="E19" s="710">
        <f t="shared" si="6"/>
        <v>0</v>
      </c>
      <c r="F19" s="712">
        <f t="shared" si="7"/>
        <v>0</v>
      </c>
      <c r="G19" s="706"/>
      <c r="H19" s="726" t="s">
        <v>389</v>
      </c>
      <c r="I19" s="727"/>
      <c r="J19" s="728">
        <v>6.5</v>
      </c>
      <c r="K19" s="729">
        <f>K16*$J$19</f>
        <v>71500</v>
      </c>
      <c r="L19" s="729">
        <f t="shared" ref="L19:V19" si="10">L16*$J$19</f>
        <v>0</v>
      </c>
      <c r="M19" s="729">
        <f t="shared" si="10"/>
        <v>0</v>
      </c>
      <c r="N19" s="729">
        <f t="shared" si="10"/>
        <v>0</v>
      </c>
      <c r="O19" s="729">
        <f t="shared" si="10"/>
        <v>0</v>
      </c>
      <c r="P19" s="729">
        <f t="shared" si="10"/>
        <v>130000</v>
      </c>
      <c r="Q19" s="729">
        <f t="shared" si="10"/>
        <v>0</v>
      </c>
      <c r="R19" s="729">
        <f t="shared" si="10"/>
        <v>0</v>
      </c>
      <c r="S19" s="729">
        <f t="shared" si="10"/>
        <v>0</v>
      </c>
      <c r="T19" s="729">
        <f t="shared" si="10"/>
        <v>0</v>
      </c>
      <c r="U19" s="729">
        <f t="shared" si="10"/>
        <v>0</v>
      </c>
      <c r="V19" s="730">
        <f t="shared" si="10"/>
        <v>0</v>
      </c>
      <c r="X19" s="675" t="s">
        <v>398</v>
      </c>
      <c r="AC19" s="675" t="s">
        <v>408</v>
      </c>
      <c r="AL19" s="675">
        <v>40</v>
      </c>
    </row>
    <row r="20" spans="1:41" ht="13.5" thickBot="1" x14ac:dyDescent="0.25">
      <c r="B20" s="783"/>
      <c r="C20" s="675" t="str">
        <f>L3</f>
        <v>Nothing</v>
      </c>
      <c r="D20" s="711"/>
      <c r="E20" s="710">
        <f t="shared" si="6"/>
        <v>0</v>
      </c>
      <c r="F20" s="725">
        <f t="shared" si="7"/>
        <v>0</v>
      </c>
      <c r="G20" s="706"/>
      <c r="H20" s="850" t="s">
        <v>570</v>
      </c>
      <c r="I20" s="851"/>
      <c r="J20" s="713">
        <f>SUM(K20:V20)</f>
        <v>5000</v>
      </c>
      <c r="K20" s="714">
        <v>5000</v>
      </c>
      <c r="L20" s="714"/>
      <c r="M20" s="714"/>
      <c r="N20" s="714"/>
      <c r="O20" s="714"/>
      <c r="P20" s="714"/>
      <c r="Q20" s="714"/>
      <c r="R20" s="714"/>
      <c r="S20" s="714"/>
      <c r="T20" s="714"/>
      <c r="U20" s="714"/>
      <c r="V20" s="715"/>
      <c r="X20" s="675" t="s">
        <v>404</v>
      </c>
      <c r="Y20" s="675">
        <v>7570</v>
      </c>
      <c r="AC20" s="675" t="s">
        <v>537</v>
      </c>
      <c r="AL20" s="720">
        <v>1.85</v>
      </c>
    </row>
    <row r="21" spans="1:41" ht="13.5" thickBot="1" x14ac:dyDescent="0.25">
      <c r="A21" s="731" t="s">
        <v>385</v>
      </c>
      <c r="B21" s="699">
        <f>SUM(B16:B20)</f>
        <v>0</v>
      </c>
      <c r="C21" s="861"/>
      <c r="D21" s="862"/>
      <c r="E21" s="732" t="e">
        <f>F21/B21</f>
        <v>#DIV/0!</v>
      </c>
      <c r="F21" s="733">
        <f>SUM(F15:F20)</f>
        <v>0</v>
      </c>
      <c r="G21" s="755"/>
      <c r="H21" s="721" t="s">
        <v>396</v>
      </c>
      <c r="I21" s="722"/>
      <c r="J21" s="716">
        <f>SUM(K21:V21)</f>
        <v>0</v>
      </c>
      <c r="K21" s="717"/>
      <c r="L21" s="717"/>
      <c r="M21" s="717"/>
      <c r="N21" s="717"/>
      <c r="O21" s="717"/>
      <c r="P21" s="717"/>
      <c r="Q21" s="717"/>
      <c r="R21" s="717"/>
      <c r="S21" s="717"/>
      <c r="T21" s="717"/>
      <c r="U21" s="717"/>
      <c r="V21" s="718"/>
      <c r="X21" s="675" t="s">
        <v>399</v>
      </c>
      <c r="Y21" s="719">
        <v>0.12</v>
      </c>
      <c r="Z21" s="720">
        <f>Z17</f>
        <v>12.717391304347826</v>
      </c>
      <c r="AA21" s="675">
        <f>Y21*Z21*1000</f>
        <v>1526.086956521739</v>
      </c>
      <c r="AD21" s="675" t="s">
        <v>535</v>
      </c>
      <c r="AE21" s="675">
        <v>260</v>
      </c>
    </row>
    <row r="22" spans="1:41" ht="13.5" thickBot="1" x14ac:dyDescent="0.25">
      <c r="F22" s="755"/>
      <c r="H22" s="721" t="s">
        <v>397</v>
      </c>
      <c r="I22" s="722"/>
      <c r="J22" s="716"/>
      <c r="K22" s="723"/>
      <c r="L22" s="723"/>
      <c r="M22" s="723"/>
      <c r="N22" s="723"/>
      <c r="O22" s="723"/>
      <c r="P22" s="723"/>
      <c r="Q22" s="723"/>
      <c r="R22" s="723"/>
      <c r="S22" s="723"/>
      <c r="T22" s="723"/>
      <c r="U22" s="723"/>
      <c r="V22" s="734"/>
      <c r="X22" s="675" t="s">
        <v>400</v>
      </c>
      <c r="Y22" s="719">
        <v>0.52</v>
      </c>
      <c r="Z22" s="720">
        <f>AA22/Y22/1000</f>
        <v>11.622909698996654</v>
      </c>
      <c r="AA22" s="675">
        <f>Y20-AA21</f>
        <v>6043.913043478261</v>
      </c>
      <c r="AD22" s="707" t="str">
        <f>AD15</f>
        <v>Mar</v>
      </c>
      <c r="AE22" s="707" t="str">
        <f t="shared" ref="AE22:AO22" si="11">AE15</f>
        <v>Apr</v>
      </c>
      <c r="AF22" s="707" t="str">
        <f t="shared" si="11"/>
        <v>May</v>
      </c>
      <c r="AG22" s="707" t="str">
        <f t="shared" si="11"/>
        <v>Jun</v>
      </c>
      <c r="AH22" s="707" t="str">
        <f t="shared" si="11"/>
        <v>Jul</v>
      </c>
      <c r="AI22" s="707" t="str">
        <f t="shared" si="11"/>
        <v>Aug</v>
      </c>
      <c r="AJ22" s="707" t="str">
        <f t="shared" si="11"/>
        <v>Sep</v>
      </c>
      <c r="AK22" s="707" t="str">
        <f t="shared" si="11"/>
        <v>Oct</v>
      </c>
      <c r="AL22" s="707" t="str">
        <f t="shared" si="11"/>
        <v>Nov</v>
      </c>
      <c r="AM22" s="707" t="str">
        <f t="shared" si="11"/>
        <v>Dec</v>
      </c>
      <c r="AN22" s="707" t="str">
        <f t="shared" si="11"/>
        <v>Jan</v>
      </c>
      <c r="AO22" s="707" t="str">
        <f t="shared" si="11"/>
        <v>Feb</v>
      </c>
    </row>
    <row r="23" spans="1:41" ht="13.5" thickBot="1" x14ac:dyDescent="0.25">
      <c r="H23" s="735" t="s">
        <v>389</v>
      </c>
      <c r="I23" s="736"/>
      <c r="J23" s="737">
        <v>7.8</v>
      </c>
      <c r="K23" s="738">
        <f>K20*$J$23</f>
        <v>39000</v>
      </c>
      <c r="L23" s="738">
        <f t="shared" ref="L23:V23" si="12">L20*$J$23</f>
        <v>0</v>
      </c>
      <c r="M23" s="738">
        <f t="shared" si="12"/>
        <v>0</v>
      </c>
      <c r="N23" s="738">
        <f t="shared" si="12"/>
        <v>0</v>
      </c>
      <c r="O23" s="738">
        <f t="shared" si="12"/>
        <v>0</v>
      </c>
      <c r="P23" s="738">
        <f t="shared" si="12"/>
        <v>0</v>
      </c>
      <c r="Q23" s="738">
        <f t="shared" si="12"/>
        <v>0</v>
      </c>
      <c r="R23" s="738">
        <f t="shared" si="12"/>
        <v>0</v>
      </c>
      <c r="S23" s="738">
        <f t="shared" si="12"/>
        <v>0</v>
      </c>
      <c r="T23" s="738">
        <f t="shared" si="12"/>
        <v>0</v>
      </c>
      <c r="U23" s="738">
        <f t="shared" si="12"/>
        <v>0</v>
      </c>
      <c r="V23" s="739">
        <f t="shared" si="12"/>
        <v>0</v>
      </c>
      <c r="X23" s="675" t="s">
        <v>401</v>
      </c>
      <c r="Y23" s="675">
        <v>0</v>
      </c>
      <c r="AC23" s="675" t="s">
        <v>399</v>
      </c>
      <c r="AD23" s="714"/>
      <c r="AE23" s="714"/>
      <c r="AF23" s="714"/>
      <c r="AG23" s="714"/>
      <c r="AH23" s="714"/>
      <c r="AI23" s="714"/>
      <c r="AJ23" s="714"/>
      <c r="AK23" s="714"/>
      <c r="AL23" s="714">
        <f>110*Y21</f>
        <v>13.2</v>
      </c>
      <c r="AM23" s="714"/>
      <c r="AN23" s="714"/>
      <c r="AO23" s="715"/>
    </row>
    <row r="24" spans="1:41" x14ac:dyDescent="0.2">
      <c r="H24" s="850" t="s">
        <v>538</v>
      </c>
      <c r="I24" s="851"/>
      <c r="J24" s="713">
        <f>Z27</f>
        <v>27.2</v>
      </c>
      <c r="K24" s="714"/>
      <c r="L24" s="714"/>
      <c r="M24" s="714"/>
      <c r="N24" s="714"/>
      <c r="O24" s="714"/>
      <c r="P24" s="714"/>
      <c r="Q24" s="714"/>
      <c r="R24" s="714"/>
      <c r="S24" s="714"/>
      <c r="T24" s="714"/>
      <c r="U24" s="714"/>
      <c r="V24" s="715"/>
      <c r="AC24" s="675" t="s">
        <v>536</v>
      </c>
      <c r="AL24" s="675">
        <f>110*Y22</f>
        <v>57.2</v>
      </c>
    </row>
    <row r="25" spans="1:41" x14ac:dyDescent="0.2">
      <c r="H25" s="740" t="s">
        <v>539</v>
      </c>
      <c r="I25" s="741"/>
      <c r="J25" s="742">
        <f>Z31</f>
        <v>6.05</v>
      </c>
      <c r="K25" s="743"/>
      <c r="L25" s="743"/>
      <c r="M25" s="743"/>
      <c r="N25" s="743"/>
      <c r="O25" s="743"/>
      <c r="P25" s="743"/>
      <c r="Q25" s="743"/>
      <c r="R25" s="743"/>
      <c r="S25" s="743"/>
      <c r="T25" s="743"/>
      <c r="U25" s="743"/>
      <c r="V25" s="744"/>
      <c r="X25" s="675" t="s">
        <v>512</v>
      </c>
      <c r="AC25" s="675" t="s">
        <v>512</v>
      </c>
    </row>
    <row r="26" spans="1:41" x14ac:dyDescent="0.2">
      <c r="H26" s="859" t="s">
        <v>407</v>
      </c>
      <c r="I26" s="860"/>
      <c r="J26" s="742">
        <v>575</v>
      </c>
      <c r="K26" s="710"/>
      <c r="L26" s="710"/>
      <c r="M26" s="710"/>
      <c r="N26" s="710"/>
      <c r="O26" s="710"/>
      <c r="P26" s="710"/>
      <c r="Q26" s="710"/>
      <c r="R26" s="710"/>
      <c r="S26" s="710"/>
      <c r="T26" s="710"/>
      <c r="U26" s="710"/>
      <c r="V26" s="724"/>
      <c r="X26" s="675" t="s">
        <v>404</v>
      </c>
      <c r="Y26" s="675">
        <v>10880</v>
      </c>
      <c r="AC26" s="675" t="s">
        <v>408</v>
      </c>
      <c r="AL26" s="675">
        <v>145</v>
      </c>
    </row>
    <row r="27" spans="1:41" ht="13.5" thickBot="1" x14ac:dyDescent="0.25">
      <c r="H27" s="735" t="s">
        <v>389</v>
      </c>
      <c r="I27" s="745"/>
      <c r="J27" s="737"/>
      <c r="K27" s="738">
        <f>K24*$J$24*$J$26+K25*$J$25*$J$26</f>
        <v>0</v>
      </c>
      <c r="L27" s="738">
        <f t="shared" ref="L27:V27" si="13">L24*$J$24*$J$26+L25*$J$25*$J$26</f>
        <v>0</v>
      </c>
      <c r="M27" s="738">
        <f t="shared" si="13"/>
        <v>0</v>
      </c>
      <c r="N27" s="738">
        <f t="shared" si="13"/>
        <v>0</v>
      </c>
      <c r="O27" s="738">
        <f t="shared" si="13"/>
        <v>0</v>
      </c>
      <c r="P27" s="738">
        <f t="shared" si="13"/>
        <v>0</v>
      </c>
      <c r="Q27" s="738">
        <f t="shared" si="13"/>
        <v>0</v>
      </c>
      <c r="R27" s="738">
        <f t="shared" si="13"/>
        <v>0</v>
      </c>
      <c r="S27" s="738">
        <f t="shared" si="13"/>
        <v>0</v>
      </c>
      <c r="T27" s="738">
        <f t="shared" si="13"/>
        <v>0</v>
      </c>
      <c r="U27" s="738">
        <f t="shared" si="13"/>
        <v>0</v>
      </c>
      <c r="V27" s="739">
        <f t="shared" si="13"/>
        <v>0</v>
      </c>
      <c r="X27" s="675" t="s">
        <v>401</v>
      </c>
      <c r="Y27" s="719">
        <v>0.4</v>
      </c>
      <c r="Z27" s="720">
        <f>Y26/Y27/1000</f>
        <v>27.2</v>
      </c>
      <c r="AC27" s="675" t="s">
        <v>537</v>
      </c>
      <c r="AL27" s="720">
        <v>1.65</v>
      </c>
    </row>
    <row r="28" spans="1:41" x14ac:dyDescent="0.2">
      <c r="H28" s="850" t="s">
        <v>409</v>
      </c>
      <c r="I28" s="851"/>
      <c r="J28" s="746"/>
      <c r="K28" s="747"/>
      <c r="L28" s="747"/>
      <c r="M28" s="747"/>
      <c r="N28" s="747"/>
      <c r="O28" s="747"/>
      <c r="P28" s="747"/>
      <c r="Q28" s="747"/>
      <c r="R28" s="747"/>
      <c r="S28" s="747"/>
      <c r="T28" s="747"/>
      <c r="U28" s="747"/>
      <c r="V28" s="748"/>
    </row>
    <row r="29" spans="1:41" x14ac:dyDescent="0.2">
      <c r="H29" s="721" t="s">
        <v>410</v>
      </c>
      <c r="I29" s="749"/>
      <c r="J29" s="742"/>
      <c r="K29" s="743"/>
      <c r="L29" s="743"/>
      <c r="M29" s="743"/>
      <c r="N29" s="743"/>
      <c r="O29" s="743"/>
      <c r="P29" s="743"/>
      <c r="Q29" s="743"/>
      <c r="R29" s="743"/>
      <c r="S29" s="743"/>
      <c r="T29" s="743"/>
      <c r="U29" s="743"/>
      <c r="V29" s="744"/>
      <c r="X29" s="675" t="s">
        <v>408</v>
      </c>
      <c r="AC29" s="675" t="s">
        <v>399</v>
      </c>
      <c r="AD29" s="675">
        <f t="shared" ref="AD29:AO29" si="14">(AD16*$AE$14+AD23*$AE$21)/($AE$14+$AE$21)</f>
        <v>19.173913043478262</v>
      </c>
      <c r="AE29" s="675">
        <f t="shared" si="14"/>
        <v>12.6</v>
      </c>
      <c r="AF29" s="675">
        <f t="shared" si="14"/>
        <v>12.6</v>
      </c>
      <c r="AG29" s="675">
        <f t="shared" si="14"/>
        <v>12.6</v>
      </c>
      <c r="AH29" s="675">
        <f t="shared" si="14"/>
        <v>0</v>
      </c>
      <c r="AI29" s="675">
        <f t="shared" si="14"/>
        <v>12.6</v>
      </c>
      <c r="AJ29" s="675">
        <f t="shared" si="14"/>
        <v>12.6</v>
      </c>
      <c r="AK29" s="675">
        <f t="shared" si="14"/>
        <v>12.6</v>
      </c>
      <c r="AL29" s="675">
        <f t="shared" si="14"/>
        <v>10.241739130434782</v>
      </c>
      <c r="AM29" s="675">
        <f t="shared" si="14"/>
        <v>12.6</v>
      </c>
      <c r="AN29" s="675">
        <f t="shared" si="14"/>
        <v>12.6</v>
      </c>
      <c r="AO29" s="675">
        <f t="shared" si="14"/>
        <v>12.6</v>
      </c>
    </row>
    <row r="30" spans="1:41" x14ac:dyDescent="0.2">
      <c r="H30" s="740" t="s">
        <v>411</v>
      </c>
      <c r="I30" s="741" t="s">
        <v>404</v>
      </c>
      <c r="J30" s="750">
        <v>500</v>
      </c>
      <c r="K30" s="710">
        <f t="shared" ref="K30:L30" si="15">K28*K29*$J$30</f>
        <v>0</v>
      </c>
      <c r="L30" s="710">
        <f t="shared" si="15"/>
        <v>0</v>
      </c>
      <c r="M30" s="710">
        <f>M28*M29*$J$30</f>
        <v>0</v>
      </c>
      <c r="N30" s="710">
        <f t="shared" ref="N30:V30" si="16">N28*N29*$J$30</f>
        <v>0</v>
      </c>
      <c r="O30" s="710">
        <f t="shared" si="16"/>
        <v>0</v>
      </c>
      <c r="P30" s="710">
        <f t="shared" si="16"/>
        <v>0</v>
      </c>
      <c r="Q30" s="710">
        <f t="shared" si="16"/>
        <v>0</v>
      </c>
      <c r="R30" s="710">
        <f t="shared" si="16"/>
        <v>0</v>
      </c>
      <c r="S30" s="710">
        <f t="shared" si="16"/>
        <v>0</v>
      </c>
      <c r="T30" s="710">
        <f t="shared" si="16"/>
        <v>0</v>
      </c>
      <c r="U30" s="710">
        <f t="shared" si="16"/>
        <v>0</v>
      </c>
      <c r="V30" s="724">
        <f t="shared" si="16"/>
        <v>0</v>
      </c>
      <c r="X30" s="675" t="s">
        <v>404</v>
      </c>
      <c r="Y30" s="675">
        <v>6050</v>
      </c>
      <c r="AC30" s="675" t="s">
        <v>536</v>
      </c>
      <c r="AD30" s="675">
        <f t="shared" ref="AD30:AO30" si="17">(AD17*$AE$14+AD24*$AE$21)/($AE$14+$AE$21)</f>
        <v>28.486956521739131</v>
      </c>
      <c r="AE30" s="675">
        <f t="shared" si="17"/>
        <v>0</v>
      </c>
      <c r="AF30" s="675">
        <f t="shared" si="17"/>
        <v>0</v>
      </c>
      <c r="AG30" s="675">
        <f t="shared" si="17"/>
        <v>0</v>
      </c>
      <c r="AH30" s="675">
        <f t="shared" si="17"/>
        <v>0</v>
      </c>
      <c r="AI30" s="675">
        <f t="shared" si="17"/>
        <v>0</v>
      </c>
      <c r="AJ30" s="675">
        <f t="shared" si="17"/>
        <v>0</v>
      </c>
      <c r="AK30" s="675">
        <f t="shared" si="17"/>
        <v>0</v>
      </c>
      <c r="AL30" s="675">
        <f t="shared" si="17"/>
        <v>44.380869565217388</v>
      </c>
      <c r="AM30" s="675">
        <f t="shared" si="17"/>
        <v>0</v>
      </c>
      <c r="AN30" s="675">
        <f t="shared" si="17"/>
        <v>0</v>
      </c>
      <c r="AO30" s="675">
        <f t="shared" si="17"/>
        <v>0</v>
      </c>
    </row>
    <row r="31" spans="1:41" x14ac:dyDescent="0.2">
      <c r="H31" s="740" t="s">
        <v>412</v>
      </c>
      <c r="I31" s="741"/>
      <c r="J31" s="742"/>
      <c r="K31" s="779"/>
      <c r="L31" s="779"/>
      <c r="M31" s="779"/>
      <c r="N31" s="779"/>
      <c r="O31" s="779"/>
      <c r="P31" s="779"/>
      <c r="Q31" s="779">
        <v>1.2</v>
      </c>
      <c r="R31" s="779"/>
      <c r="S31" s="779"/>
      <c r="T31" s="779"/>
      <c r="U31" s="779"/>
      <c r="V31" s="780"/>
      <c r="X31" s="675" t="s">
        <v>401</v>
      </c>
      <c r="Y31" s="719">
        <v>1</v>
      </c>
      <c r="Z31" s="720">
        <f>Y30/Y31/1000</f>
        <v>6.05</v>
      </c>
      <c r="AC31" s="675" t="s">
        <v>512</v>
      </c>
      <c r="AD31" s="675">
        <f t="shared" ref="AD31:AO31" si="18">(AD18*$AE$14+AD25*$AE$21)/($AE$14+$AE$21)</f>
        <v>5.4782608695652177</v>
      </c>
      <c r="AE31" s="675">
        <f t="shared" si="18"/>
        <v>5.4782608695652177</v>
      </c>
      <c r="AF31" s="675">
        <f t="shared" si="18"/>
        <v>5.4782608695652177</v>
      </c>
      <c r="AG31" s="675">
        <f t="shared" si="18"/>
        <v>5.4782608695652177</v>
      </c>
      <c r="AH31" s="675">
        <f t="shared" si="18"/>
        <v>0</v>
      </c>
      <c r="AI31" s="675">
        <f t="shared" si="18"/>
        <v>5.4782608695652177</v>
      </c>
      <c r="AJ31" s="675">
        <f t="shared" si="18"/>
        <v>5.4782608695652177</v>
      </c>
      <c r="AK31" s="675">
        <f t="shared" si="18"/>
        <v>5.4782608695652177</v>
      </c>
      <c r="AL31" s="675">
        <f t="shared" si="18"/>
        <v>0</v>
      </c>
      <c r="AM31" s="675">
        <f t="shared" si="18"/>
        <v>5.4782608695652177</v>
      </c>
      <c r="AN31" s="675">
        <f t="shared" si="18"/>
        <v>5.4782608695652177</v>
      </c>
      <c r="AO31" s="675">
        <f t="shared" si="18"/>
        <v>5.4782608695652177</v>
      </c>
    </row>
    <row r="32" spans="1:41" x14ac:dyDescent="0.2">
      <c r="H32" s="740" t="s">
        <v>410</v>
      </c>
      <c r="I32" s="741"/>
      <c r="J32" s="742"/>
      <c r="K32" s="743"/>
      <c r="L32" s="743"/>
      <c r="M32" s="743"/>
      <c r="N32" s="743"/>
      <c r="O32" s="743"/>
      <c r="P32" s="743"/>
      <c r="Q32" s="743">
        <v>214</v>
      </c>
      <c r="R32" s="743"/>
      <c r="S32" s="743"/>
      <c r="T32" s="743"/>
      <c r="U32" s="743"/>
      <c r="V32" s="744"/>
      <c r="AC32" s="675" t="s">
        <v>408</v>
      </c>
      <c r="AD32" s="675">
        <f t="shared" ref="AD32:AO32" si="19">(AD19*$AE$14+AD26*$AE$21)/($AE$14+$AE$21)</f>
        <v>0</v>
      </c>
      <c r="AE32" s="675">
        <f t="shared" si="19"/>
        <v>0</v>
      </c>
      <c r="AF32" s="675">
        <f t="shared" si="19"/>
        <v>0</v>
      </c>
      <c r="AG32" s="675">
        <f t="shared" si="19"/>
        <v>0</v>
      </c>
      <c r="AH32" s="675">
        <f t="shared" si="19"/>
        <v>0</v>
      </c>
      <c r="AI32" s="675">
        <f t="shared" si="19"/>
        <v>0</v>
      </c>
      <c r="AJ32" s="675">
        <f t="shared" si="19"/>
        <v>0</v>
      </c>
      <c r="AK32" s="675">
        <f t="shared" si="19"/>
        <v>0</v>
      </c>
      <c r="AL32" s="675">
        <f t="shared" si="19"/>
        <v>87.478260869565219</v>
      </c>
      <c r="AM32" s="675">
        <f t="shared" si="19"/>
        <v>0</v>
      </c>
      <c r="AN32" s="675">
        <f t="shared" si="19"/>
        <v>0</v>
      </c>
      <c r="AO32" s="675">
        <f t="shared" si="19"/>
        <v>0</v>
      </c>
    </row>
    <row r="33" spans="8:41" x14ac:dyDescent="0.2">
      <c r="H33" s="740" t="s">
        <v>411</v>
      </c>
      <c r="I33" s="741" t="s">
        <v>404</v>
      </c>
      <c r="J33" s="750">
        <v>900</v>
      </c>
      <c r="K33" s="710">
        <f>K31*K32*$J$33</f>
        <v>0</v>
      </c>
      <c r="L33" s="710">
        <f t="shared" ref="L33:V33" si="20">L31*L32*$J$33</f>
        <v>0</v>
      </c>
      <c r="M33" s="710">
        <f t="shared" si="20"/>
        <v>0</v>
      </c>
      <c r="N33" s="710">
        <f t="shared" si="20"/>
        <v>0</v>
      </c>
      <c r="O33" s="710">
        <f t="shared" si="20"/>
        <v>0</v>
      </c>
      <c r="P33" s="710">
        <f t="shared" si="20"/>
        <v>0</v>
      </c>
      <c r="Q33" s="710">
        <f t="shared" si="20"/>
        <v>231120</v>
      </c>
      <c r="R33" s="710">
        <f t="shared" si="20"/>
        <v>0</v>
      </c>
      <c r="S33" s="710">
        <f t="shared" si="20"/>
        <v>0</v>
      </c>
      <c r="T33" s="710">
        <f t="shared" si="20"/>
        <v>0</v>
      </c>
      <c r="U33" s="710">
        <f t="shared" si="20"/>
        <v>0</v>
      </c>
      <c r="V33" s="724">
        <f t="shared" si="20"/>
        <v>0</v>
      </c>
      <c r="AC33" s="675" t="s">
        <v>537</v>
      </c>
      <c r="AD33" s="675">
        <f t="shared" ref="AD33:AO33" si="21">(AD20*$AE$14+AD27*$AE$21)/($AE$14+$AE$21)</f>
        <v>0</v>
      </c>
      <c r="AE33" s="675">
        <f t="shared" si="21"/>
        <v>0</v>
      </c>
      <c r="AF33" s="675">
        <f t="shared" si="21"/>
        <v>0</v>
      </c>
      <c r="AG33" s="675">
        <f t="shared" si="21"/>
        <v>0</v>
      </c>
      <c r="AH33" s="675">
        <f t="shared" si="21"/>
        <v>0</v>
      </c>
      <c r="AI33" s="675">
        <f t="shared" si="21"/>
        <v>0</v>
      </c>
      <c r="AJ33" s="675">
        <f t="shared" si="21"/>
        <v>0</v>
      </c>
      <c r="AK33" s="675">
        <f t="shared" si="21"/>
        <v>0</v>
      </c>
      <c r="AL33" s="675">
        <f t="shared" si="21"/>
        <v>1.7595652173913043</v>
      </c>
      <c r="AM33" s="675">
        <f t="shared" si="21"/>
        <v>0</v>
      </c>
      <c r="AN33" s="675">
        <f t="shared" si="21"/>
        <v>0</v>
      </c>
      <c r="AO33" s="675">
        <f t="shared" si="21"/>
        <v>0</v>
      </c>
    </row>
    <row r="34" spans="8:41" ht="13.5" thickBot="1" x14ac:dyDescent="0.25">
      <c r="H34" s="751" t="s">
        <v>329</v>
      </c>
      <c r="I34" s="745"/>
      <c r="J34" s="752"/>
      <c r="K34" s="753"/>
      <c r="L34" s="753"/>
      <c r="M34" s="753"/>
      <c r="N34" s="753"/>
      <c r="O34" s="753"/>
      <c r="P34" s="753"/>
      <c r="Q34" s="753"/>
      <c r="R34" s="753"/>
      <c r="S34" s="753"/>
      <c r="T34" s="753"/>
      <c r="U34" s="753"/>
      <c r="V34" s="754"/>
    </row>
  </sheetData>
  <mergeCells count="41">
    <mergeCell ref="F7:G7"/>
    <mergeCell ref="F8:G8"/>
    <mergeCell ref="A3:D3"/>
    <mergeCell ref="F3:J3"/>
    <mergeCell ref="F4:G4"/>
    <mergeCell ref="F5:G5"/>
    <mergeCell ref="F6:G6"/>
    <mergeCell ref="R8:S8"/>
    <mergeCell ref="L3:P3"/>
    <mergeCell ref="L4:M4"/>
    <mergeCell ref="L5:M5"/>
    <mergeCell ref="L6:M6"/>
    <mergeCell ref="L7:M7"/>
    <mergeCell ref="L8:M8"/>
    <mergeCell ref="R3:V3"/>
    <mergeCell ref="R4:S4"/>
    <mergeCell ref="R5:S5"/>
    <mergeCell ref="R6:S6"/>
    <mergeCell ref="R7:S7"/>
    <mergeCell ref="C21:D21"/>
    <mergeCell ref="A14:F14"/>
    <mergeCell ref="R9:S9"/>
    <mergeCell ref="R10:S10"/>
    <mergeCell ref="R11:S11"/>
    <mergeCell ref="R12:S12"/>
    <mergeCell ref="L9:M9"/>
    <mergeCell ref="L10:M10"/>
    <mergeCell ref="L11:M11"/>
    <mergeCell ref="L12:M12"/>
    <mergeCell ref="F9:G9"/>
    <mergeCell ref="F10:G10"/>
    <mergeCell ref="F11:G11"/>
    <mergeCell ref="F12:G12"/>
    <mergeCell ref="H28:I28"/>
    <mergeCell ref="H17:I17"/>
    <mergeCell ref="H14:V14"/>
    <mergeCell ref="H15:I15"/>
    <mergeCell ref="H16:I16"/>
    <mergeCell ref="H20:I20"/>
    <mergeCell ref="H24:I24"/>
    <mergeCell ref="H26:I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8085B-2581-4F22-9E91-34073CBB17CC}">
  <dimension ref="A1:V63"/>
  <sheetViews>
    <sheetView zoomScale="110" zoomScaleNormal="110" workbookViewId="0">
      <pane xSplit="5" ySplit="2" topLeftCell="F36" activePane="bottomRight" state="frozen"/>
      <selection pane="topRight" activeCell="E1" sqref="E1"/>
      <selection pane="bottomLeft" activeCell="A3" sqref="A3"/>
      <selection pane="bottomRight" activeCell="F36" sqref="F36"/>
    </sheetView>
  </sheetViews>
  <sheetFormatPr defaultRowHeight="12.75" x14ac:dyDescent="0.2"/>
  <cols>
    <col min="1" max="1" width="28.6640625" style="570" customWidth="1"/>
    <col min="2" max="2" width="12" style="570" bestFit="1" customWidth="1"/>
    <col min="3" max="4" width="7.6640625" style="570" customWidth="1"/>
    <col min="5" max="5" width="8.6640625" style="570" bestFit="1" customWidth="1"/>
    <col min="6" max="16" width="10.5" style="570" customWidth="1"/>
    <col min="17" max="17" width="11.5" style="570" bestFit="1" customWidth="1"/>
    <col min="18" max="18" width="9.33203125" style="570"/>
    <col min="19" max="19" width="10.1640625" style="570" bestFit="1" customWidth="1"/>
    <col min="20" max="20" width="9.33203125" style="570"/>
    <col min="21" max="21" width="10.6640625" style="570" bestFit="1" customWidth="1"/>
    <col min="22" max="22" width="10.1640625" style="570" bestFit="1" customWidth="1"/>
    <col min="23" max="23" width="9.33203125" style="570"/>
    <col min="24" max="24" width="10.1640625" style="570" bestFit="1" customWidth="1"/>
    <col min="25" max="16384" width="9.33203125" style="570"/>
  </cols>
  <sheetData>
    <row r="1" spans="1:21" ht="13.5" thickBot="1" x14ac:dyDescent="0.25">
      <c r="A1" s="569" t="s">
        <v>349</v>
      </c>
    </row>
    <row r="2" spans="1:21" ht="13.5" thickBot="1" x14ac:dyDescent="0.25">
      <c r="A2" s="600"/>
      <c r="B2" s="622" t="s">
        <v>0</v>
      </c>
      <c r="C2" s="584" t="s">
        <v>413</v>
      </c>
      <c r="D2" s="584" t="s">
        <v>414</v>
      </c>
      <c r="E2" s="623" t="s">
        <v>364</v>
      </c>
      <c r="F2" s="612" t="str">
        <f>Summary!D5</f>
        <v>Mar</v>
      </c>
      <c r="G2" s="585" t="str">
        <f>Summary!E5</f>
        <v>Apr</v>
      </c>
      <c r="H2" s="585" t="str">
        <f>Summary!F5</f>
        <v>May</v>
      </c>
      <c r="I2" s="585" t="str">
        <f>Summary!G5</f>
        <v>Jun</v>
      </c>
      <c r="J2" s="585" t="str">
        <f>Summary!H5</f>
        <v>Jul</v>
      </c>
      <c r="K2" s="585" t="str">
        <f>Summary!I5</f>
        <v>Aug</v>
      </c>
      <c r="L2" s="585" t="str">
        <f>Summary!J5</f>
        <v>Sep</v>
      </c>
      <c r="M2" s="585" t="str">
        <f>Summary!K5</f>
        <v>Oct</v>
      </c>
      <c r="N2" s="585" t="str">
        <f>Summary!L5</f>
        <v>Nov</v>
      </c>
      <c r="O2" s="585" t="str">
        <f>Summary!M5</f>
        <v>Dec</v>
      </c>
      <c r="P2" s="585" t="str">
        <f>Summary!N5</f>
        <v>Jan</v>
      </c>
      <c r="Q2" s="586" t="str">
        <f>Summary!O5</f>
        <v>Feb</v>
      </c>
      <c r="R2" s="569"/>
    </row>
    <row r="3" spans="1:21" x14ac:dyDescent="0.2">
      <c r="A3" s="601"/>
      <c r="B3" s="581"/>
      <c r="C3" s="582"/>
      <c r="D3" s="626">
        <f>'P1 CF'!B18+'P1 CF'!B16+'P2 CF'!B18+'P2 CF'!B16</f>
        <v>1421.625</v>
      </c>
      <c r="E3" s="627">
        <f>'P1 Area'!AB22+'P2 Area'!AB22</f>
        <v>0</v>
      </c>
      <c r="F3" s="613"/>
      <c r="G3" s="582"/>
      <c r="H3" s="582"/>
      <c r="I3" s="582"/>
      <c r="J3" s="582"/>
      <c r="K3" s="582"/>
      <c r="L3" s="582"/>
      <c r="M3" s="582"/>
      <c r="N3" s="582"/>
      <c r="O3" s="582"/>
      <c r="P3" s="582"/>
      <c r="Q3" s="583"/>
    </row>
    <row r="4" spans="1:21" x14ac:dyDescent="0.2">
      <c r="A4" s="602" t="s">
        <v>316</v>
      </c>
      <c r="B4" s="587"/>
      <c r="C4" s="588"/>
      <c r="D4" s="588"/>
      <c r="E4" s="589"/>
      <c r="F4" s="614">
        <f>'P1 CF'!C18+'P2 Bal'!E56</f>
        <v>1230</v>
      </c>
      <c r="G4" s="588">
        <f>'P1 CF'!D18+'P2 Bal'!F56</f>
        <v>1230</v>
      </c>
      <c r="H4" s="588">
        <f>'P1 CF'!E18+'P2 Bal'!G56</f>
        <v>1204</v>
      </c>
      <c r="I4" s="588">
        <f>'P1 CF'!F18+'P2 Bal'!H56</f>
        <v>1229.5</v>
      </c>
      <c r="J4" s="588">
        <f>'P1 CF'!G18+'P2 Bal'!I56</f>
        <v>1356.5</v>
      </c>
      <c r="K4" s="588">
        <f>'P1 CF'!H18+'P2 Bal'!J56</f>
        <v>1424.5</v>
      </c>
      <c r="L4" s="588">
        <f>'P1 CF'!I18+'P2 Bal'!K56</f>
        <v>1409.5</v>
      </c>
      <c r="M4" s="588">
        <f>'P1 CF'!J18+'P2 Bal'!L56</f>
        <v>1394.5</v>
      </c>
      <c r="N4" s="588">
        <f>'P1 CF'!K18+'P2 Bal'!M56</f>
        <v>1379.5</v>
      </c>
      <c r="O4" s="588">
        <f>'P1 CF'!L18+'P2 Bal'!N56</f>
        <v>1364.5</v>
      </c>
      <c r="P4" s="588">
        <f>'P1 CF'!M18+'P2 Bal'!O56</f>
        <v>1349.5</v>
      </c>
      <c r="Q4" s="589">
        <f>'P1 CF'!N18+'P2 Bal'!P56</f>
        <v>1334.5</v>
      </c>
    </row>
    <row r="5" spans="1:21" x14ac:dyDescent="0.2">
      <c r="A5" s="602" t="s">
        <v>312</v>
      </c>
      <c r="B5" s="587">
        <f>SUM(F5:Q5)</f>
        <v>9153594.9000000004</v>
      </c>
      <c r="C5" s="588"/>
      <c r="D5" s="588">
        <f>B5/D3</f>
        <v>6438.8252176206806</v>
      </c>
      <c r="E5" s="589" t="e">
        <f>B5/E3</f>
        <v>#DIV/0!</v>
      </c>
      <c r="F5" s="614">
        <f>'P1 CF'!C23</f>
        <v>724470</v>
      </c>
      <c r="G5" s="588">
        <f>'P1 CF'!D23</f>
        <v>701100</v>
      </c>
      <c r="H5" s="588">
        <f>'P1 CF'!E23</f>
        <v>707271.2</v>
      </c>
      <c r="I5" s="588">
        <f>'P1 CF'!F23</f>
        <v>693327</v>
      </c>
      <c r="J5" s="588">
        <f>'P1 CF'!G23</f>
        <v>783949.7</v>
      </c>
      <c r="K5" s="588">
        <f>'P1 CF'!H23</f>
        <v>827870.5</v>
      </c>
      <c r="L5" s="588">
        <f>'P1 CF'!I23</f>
        <v>799431</v>
      </c>
      <c r="M5" s="588">
        <f>'P1 CF'!J23</f>
        <v>821360.5</v>
      </c>
      <c r="N5" s="588">
        <f>'P1 CF'!K23</f>
        <v>786315</v>
      </c>
      <c r="O5" s="588">
        <f>'P1 CF'!L23</f>
        <v>803690.5</v>
      </c>
      <c r="P5" s="588">
        <f>'P1 CF'!M23</f>
        <v>794855.5</v>
      </c>
      <c r="Q5" s="589">
        <f>'P1 CF'!N23</f>
        <v>709954</v>
      </c>
      <c r="S5" s="772">
        <v>3.96</v>
      </c>
      <c r="T5" s="772">
        <v>4.12</v>
      </c>
      <c r="U5" s="772">
        <f>U7/U6</f>
        <v>4.0211003236245952</v>
      </c>
    </row>
    <row r="6" spans="1:21" x14ac:dyDescent="0.2">
      <c r="A6" s="602" t="s">
        <v>313</v>
      </c>
      <c r="B6" s="587"/>
      <c r="C6" s="588"/>
      <c r="D6" s="588"/>
      <c r="E6" s="589"/>
      <c r="F6" s="615">
        <v>4.5999999999999996</v>
      </c>
      <c r="G6" s="590">
        <f>F6</f>
        <v>4.5999999999999996</v>
      </c>
      <c r="H6" s="590">
        <v>4.7</v>
      </c>
      <c r="I6" s="590">
        <f t="shared" ref="I6" si="0">H6</f>
        <v>4.7</v>
      </c>
      <c r="J6" s="590">
        <f>I6</f>
        <v>4.7</v>
      </c>
      <c r="K6" s="590">
        <f>J6-0.2</f>
        <v>4.5</v>
      </c>
      <c r="L6" s="590">
        <f>K6-0.1</f>
        <v>4.4000000000000004</v>
      </c>
      <c r="M6" s="590">
        <f>L6</f>
        <v>4.4000000000000004</v>
      </c>
      <c r="N6" s="590">
        <f t="shared" ref="N6:Q6" si="1">M6</f>
        <v>4.4000000000000004</v>
      </c>
      <c r="O6" s="590">
        <f>N6</f>
        <v>4.4000000000000004</v>
      </c>
      <c r="P6" s="590">
        <f t="shared" si="1"/>
        <v>4.4000000000000004</v>
      </c>
      <c r="Q6" s="591">
        <f t="shared" si="1"/>
        <v>4.4000000000000004</v>
      </c>
      <c r="S6" s="570">
        <v>382000</v>
      </c>
      <c r="T6" s="570">
        <v>236000</v>
      </c>
      <c r="U6" s="781">
        <f>SUM(S6:T6)</f>
        <v>618000</v>
      </c>
    </row>
    <row r="7" spans="1:21" x14ac:dyDescent="0.2">
      <c r="A7" s="602" t="s">
        <v>314</v>
      </c>
      <c r="B7" s="587">
        <f>SUM(F7:Q7)</f>
        <v>3618605.480769231</v>
      </c>
      <c r="C7" s="588"/>
      <c r="D7" s="588">
        <f>B7/D3</f>
        <v>2545.4008481626524</v>
      </c>
      <c r="E7" s="589"/>
      <c r="F7" s="614">
        <f>'P1 Feeding'!D5+'P2 Feeding'!D5</f>
        <v>275709.23076923081</v>
      </c>
      <c r="G7" s="588">
        <f>'P1 Feeding'!E5+'P2 Feeding'!E5</f>
        <v>276750</v>
      </c>
      <c r="H7" s="588">
        <f>'P1 Feeding'!F5+'P2 Feeding'!F5</f>
        <v>279930</v>
      </c>
      <c r="I7" s="588">
        <f>'P1 Feeding'!G5+'P2 Feeding'!G5</f>
        <v>276637.5</v>
      </c>
      <c r="J7" s="588">
        <f>'P1 Feeding'!H5+'P2 Feeding'!H5</f>
        <v>315386.25</v>
      </c>
      <c r="K7" s="588">
        <f>'P1 Feeding'!I5+'P2 Feeding'!I5</f>
        <v>331196.25</v>
      </c>
      <c r="L7" s="588">
        <f>'P1 Feeding'!J5+'P2 Feeding'!J5</f>
        <v>317137.5</v>
      </c>
      <c r="M7" s="588">
        <f>'P1 Feeding'!K5+'P2 Feeding'!K5</f>
        <v>324221.25</v>
      </c>
      <c r="N7" s="588">
        <f>'P1 Feeding'!L5+'P2 Feeding'!L5</f>
        <v>310387.5</v>
      </c>
      <c r="O7" s="588">
        <f>'P1 Feeding'!M5+'P2 Feeding'!M5</f>
        <v>317246.25</v>
      </c>
      <c r="P7" s="588">
        <f>'P1 Feeding'!N5+'P2 Feeding'!N5</f>
        <v>313758.75</v>
      </c>
      <c r="Q7" s="589">
        <f>'P1 Feeding'!O5+'P2 Feeding'!O5</f>
        <v>280245</v>
      </c>
      <c r="S7" s="570">
        <f>S5*S6</f>
        <v>1512720</v>
      </c>
      <c r="T7" s="570">
        <f>T5*T6</f>
        <v>972320</v>
      </c>
      <c r="U7" s="781">
        <f>SUM(S7:T7)</f>
        <v>2485040</v>
      </c>
    </row>
    <row r="8" spans="1:21" x14ac:dyDescent="0.2">
      <c r="A8" s="602" t="s">
        <v>315</v>
      </c>
      <c r="B8" s="587"/>
      <c r="C8" s="588"/>
      <c r="D8" s="588"/>
      <c r="E8" s="589"/>
      <c r="F8" s="615">
        <v>3.8</v>
      </c>
      <c r="G8" s="590">
        <f>F8</f>
        <v>3.8</v>
      </c>
      <c r="H8" s="590">
        <v>3.75</v>
      </c>
      <c r="I8" s="590">
        <f>H8</f>
        <v>3.75</v>
      </c>
      <c r="J8" s="590">
        <f t="shared" ref="J8:K8" si="2">I8</f>
        <v>3.75</v>
      </c>
      <c r="K8" s="590">
        <f t="shared" si="2"/>
        <v>3.75</v>
      </c>
      <c r="L8" s="590">
        <f t="shared" ref="L8:Q8" si="3">K8</f>
        <v>3.75</v>
      </c>
      <c r="M8" s="590">
        <f t="shared" si="3"/>
        <v>3.75</v>
      </c>
      <c r="N8" s="590">
        <f t="shared" si="3"/>
        <v>3.75</v>
      </c>
      <c r="O8" s="590">
        <f t="shared" si="3"/>
        <v>3.75</v>
      </c>
      <c r="P8" s="590">
        <f t="shared" si="3"/>
        <v>3.75</v>
      </c>
      <c r="Q8" s="591">
        <f t="shared" si="3"/>
        <v>3.75</v>
      </c>
    </row>
    <row r="9" spans="1:21" x14ac:dyDescent="0.2">
      <c r="A9" s="603"/>
      <c r="B9" s="572"/>
      <c r="C9" s="573"/>
      <c r="D9" s="573"/>
      <c r="E9" s="574"/>
      <c r="F9" s="616"/>
      <c r="G9" s="573"/>
      <c r="H9" s="573"/>
      <c r="I9" s="573"/>
      <c r="J9" s="573"/>
      <c r="K9" s="573"/>
      <c r="L9" s="573"/>
      <c r="M9" s="573"/>
      <c r="N9" s="573"/>
      <c r="O9" s="573"/>
      <c r="P9" s="573"/>
      <c r="Q9" s="574"/>
    </row>
    <row r="10" spans="1:21" x14ac:dyDescent="0.2">
      <c r="A10" s="604" t="s">
        <v>321</v>
      </c>
      <c r="B10" s="572"/>
      <c r="C10" s="573"/>
      <c r="D10" s="573"/>
      <c r="E10" s="574"/>
      <c r="F10" s="616"/>
      <c r="G10" s="573"/>
      <c r="H10" s="573"/>
      <c r="I10" s="573"/>
      <c r="J10" s="573"/>
      <c r="K10" s="573"/>
      <c r="L10" s="573"/>
      <c r="M10" s="573"/>
      <c r="N10" s="573"/>
      <c r="O10" s="573"/>
      <c r="P10" s="573"/>
      <c r="Q10" s="574"/>
    </row>
    <row r="11" spans="1:21" x14ac:dyDescent="0.2">
      <c r="A11" s="603" t="s">
        <v>317</v>
      </c>
      <c r="B11" s="575">
        <f t="shared" ref="B11:B14" si="4">SUM(F11:Q11)</f>
        <v>41299082.980000004</v>
      </c>
      <c r="C11" s="573">
        <f>B11/$B$5*100</f>
        <v>451.1788366339</v>
      </c>
      <c r="D11" s="573">
        <f>B11/$D$3</f>
        <v>29050.616709751168</v>
      </c>
      <c r="E11" s="574" t="e">
        <f>B11/$E$3</f>
        <v>#DIV/0!</v>
      </c>
      <c r="F11" s="812">
        <f>F5*F6</f>
        <v>3332561.9999999995</v>
      </c>
      <c r="G11" s="813">
        <f t="shared" ref="G11:Q11" si="5">G5*G6</f>
        <v>3225059.9999999995</v>
      </c>
      <c r="H11" s="813">
        <f t="shared" si="5"/>
        <v>3324174.64</v>
      </c>
      <c r="I11" s="813">
        <f t="shared" si="5"/>
        <v>3258636.9</v>
      </c>
      <c r="J11" s="813">
        <f t="shared" si="5"/>
        <v>3684563.59</v>
      </c>
      <c r="K11" s="813">
        <f t="shared" si="5"/>
        <v>3725417.25</v>
      </c>
      <c r="L11" s="813">
        <f t="shared" si="5"/>
        <v>3517496.4000000004</v>
      </c>
      <c r="M11" s="813">
        <f t="shared" si="5"/>
        <v>3613986.2</v>
      </c>
      <c r="N11" s="813">
        <f t="shared" si="5"/>
        <v>3459786.0000000005</v>
      </c>
      <c r="O11" s="813">
        <f t="shared" si="5"/>
        <v>3536238.2</v>
      </c>
      <c r="P11" s="813">
        <f t="shared" si="5"/>
        <v>3497364.2</v>
      </c>
      <c r="Q11" s="814">
        <f t="shared" si="5"/>
        <v>3123797.6</v>
      </c>
    </row>
    <row r="12" spans="1:21" x14ac:dyDescent="0.2">
      <c r="A12" s="603" t="s">
        <v>318</v>
      </c>
      <c r="B12" s="575">
        <f t="shared" si="4"/>
        <v>750000</v>
      </c>
      <c r="C12" s="573">
        <f t="shared" ref="C12:C14" si="6">B12/$B$5*100</f>
        <v>8.1935022053466664</v>
      </c>
      <c r="D12" s="573">
        <f>B12/$D$3</f>
        <v>527.56528620416782</v>
      </c>
      <c r="E12" s="574" t="e">
        <f>B12/$E$3</f>
        <v>#DIV/0!</v>
      </c>
      <c r="F12" s="812">
        <f>('P1 CF'!C7+'P2 CF'!C7)*Financial!$R$12</f>
        <v>0</v>
      </c>
      <c r="G12" s="813">
        <f>('P1 CF'!D7+'P2 CF'!D7)*Financial!$R$12</f>
        <v>0</v>
      </c>
      <c r="H12" s="813">
        <f>('P1 CF'!E7+'P2 CF'!E7)*Financial!$R$12</f>
        <v>75000</v>
      </c>
      <c r="I12" s="813">
        <f>('P1 CF'!F7+'P2 CF'!F7)*Financial!$R$12</f>
        <v>75000</v>
      </c>
      <c r="J12" s="813">
        <f>('P1 CF'!G7+'P2 CF'!G7)*Financial!$R$12</f>
        <v>75000</v>
      </c>
      <c r="K12" s="813">
        <f>('P1 CF'!H7+'P2 CF'!H7)*Financial!$R$12</f>
        <v>75000</v>
      </c>
      <c r="L12" s="813">
        <f>('P1 CF'!I7+'P2 CF'!I7)*Financial!$R$12</f>
        <v>75000</v>
      </c>
      <c r="M12" s="813">
        <f>('P1 CF'!J7+'P2 CF'!J7)*Financial!$R$12</f>
        <v>75000</v>
      </c>
      <c r="N12" s="813">
        <f>('P1 CF'!K7+'P2 CF'!K7)*Financial!$R$12</f>
        <v>75000</v>
      </c>
      <c r="O12" s="813">
        <f>('P1 CF'!L7+'P2 CF'!L7)*Financial!$R$12</f>
        <v>75000</v>
      </c>
      <c r="P12" s="813">
        <f>('P1 CF'!M7+'P2 CF'!M7)*Financial!$R$12</f>
        <v>75000</v>
      </c>
      <c r="Q12" s="814">
        <f>('P1 CF'!N7+'P2 CF'!N7)*Financial!$R$12</f>
        <v>75000</v>
      </c>
      <c r="R12" s="570">
        <v>5000</v>
      </c>
      <c r="S12" s="570" t="s">
        <v>415</v>
      </c>
    </row>
    <row r="13" spans="1:21" x14ac:dyDescent="0.2">
      <c r="A13" s="605" t="s">
        <v>509</v>
      </c>
      <c r="B13" s="624">
        <f t="shared" si="4"/>
        <v>0</v>
      </c>
      <c r="C13" s="579">
        <f t="shared" si="6"/>
        <v>0</v>
      </c>
      <c r="D13" s="579">
        <f>B13/$D$3</f>
        <v>0</v>
      </c>
      <c r="E13" s="580" t="e">
        <f>B13/$E$3</f>
        <v>#DIV/0!</v>
      </c>
      <c r="F13" s="815">
        <f>'P1 CF'!C38*Financial!$R$13</f>
        <v>0</v>
      </c>
      <c r="G13" s="816">
        <f>'P1 CF'!D38*Financial!$R$13</f>
        <v>0</v>
      </c>
      <c r="H13" s="816">
        <f>'P1 CF'!E38*Financial!$R$13</f>
        <v>0</v>
      </c>
      <c r="I13" s="816">
        <f>'P1 CF'!F38*Financial!$R$13</f>
        <v>0</v>
      </c>
      <c r="J13" s="816">
        <f>'P1 CF'!G38*Financial!$R$13</f>
        <v>0</v>
      </c>
      <c r="K13" s="816">
        <f>'P1 CF'!H38*Financial!$R$13</f>
        <v>0</v>
      </c>
      <c r="L13" s="816">
        <f>'P1 CF'!I38*Financial!$R$13</f>
        <v>0</v>
      </c>
      <c r="M13" s="816">
        <f>'P1 CF'!J38*Financial!$R$13</f>
        <v>0</v>
      </c>
      <c r="N13" s="816">
        <f>'P1 CF'!K38*Financial!$R$13</f>
        <v>0</v>
      </c>
      <c r="O13" s="816">
        <f>'P1 CF'!L38*Financial!$R$13</f>
        <v>0</v>
      </c>
      <c r="P13" s="816">
        <f>'P1 CF'!M38*Financial!$R$13</f>
        <v>0</v>
      </c>
      <c r="Q13" s="817">
        <f>'P1 CF'!N38*Financial!$R$13</f>
        <v>0</v>
      </c>
      <c r="R13" s="570">
        <v>8000</v>
      </c>
      <c r="S13" s="570" t="s">
        <v>510</v>
      </c>
    </row>
    <row r="14" spans="1:21" x14ac:dyDescent="0.2">
      <c r="A14" s="606" t="s">
        <v>319</v>
      </c>
      <c r="B14" s="592">
        <f t="shared" si="4"/>
        <v>42049082.980000004</v>
      </c>
      <c r="C14" s="593">
        <f t="shared" si="6"/>
        <v>459.37233883924665</v>
      </c>
      <c r="D14" s="593">
        <f>B14/$D$3</f>
        <v>29578.181995955336</v>
      </c>
      <c r="E14" s="594" t="e">
        <f>B14/$E$3</f>
        <v>#DIV/0!</v>
      </c>
      <c r="F14" s="618">
        <f>SUM(F11:F13)</f>
        <v>3332561.9999999995</v>
      </c>
      <c r="G14" s="593">
        <f t="shared" ref="G14:Q14" si="7">SUM(G11:G13)</f>
        <v>3225059.9999999995</v>
      </c>
      <c r="H14" s="593">
        <f t="shared" si="7"/>
        <v>3399174.64</v>
      </c>
      <c r="I14" s="593">
        <f t="shared" si="7"/>
        <v>3333636.9</v>
      </c>
      <c r="J14" s="593">
        <f t="shared" si="7"/>
        <v>3759563.59</v>
      </c>
      <c r="K14" s="593">
        <f t="shared" si="7"/>
        <v>3800417.25</v>
      </c>
      <c r="L14" s="593">
        <f t="shared" si="7"/>
        <v>3592496.4000000004</v>
      </c>
      <c r="M14" s="593">
        <f t="shared" si="7"/>
        <v>3688986.2</v>
      </c>
      <c r="N14" s="593">
        <f t="shared" si="7"/>
        <v>3534786.0000000005</v>
      </c>
      <c r="O14" s="593">
        <f t="shared" si="7"/>
        <v>3611238.2</v>
      </c>
      <c r="P14" s="593">
        <f t="shared" si="7"/>
        <v>3572364.2</v>
      </c>
      <c r="Q14" s="594">
        <f t="shared" si="7"/>
        <v>3198797.6</v>
      </c>
    </row>
    <row r="15" spans="1:21" x14ac:dyDescent="0.2">
      <c r="A15" s="601"/>
      <c r="B15" s="625"/>
      <c r="C15" s="582"/>
      <c r="D15" s="582"/>
      <c r="E15" s="583"/>
      <c r="F15" s="613"/>
      <c r="G15" s="582"/>
      <c r="H15" s="582"/>
      <c r="I15" s="582"/>
      <c r="J15" s="582"/>
      <c r="K15" s="582"/>
      <c r="L15" s="582"/>
      <c r="M15" s="582"/>
      <c r="N15" s="582"/>
      <c r="O15" s="582"/>
      <c r="P15" s="582"/>
      <c r="Q15" s="583"/>
    </row>
    <row r="16" spans="1:21" x14ac:dyDescent="0.2">
      <c r="A16" s="604" t="s">
        <v>320</v>
      </c>
      <c r="B16" s="575"/>
      <c r="C16" s="573"/>
      <c r="D16" s="573"/>
      <c r="E16" s="574"/>
      <c r="F16" s="616"/>
      <c r="G16" s="573"/>
      <c r="H16" s="573"/>
      <c r="I16" s="573"/>
      <c r="J16" s="573"/>
      <c r="K16" s="573"/>
      <c r="L16" s="573"/>
      <c r="M16" s="573"/>
      <c r="N16" s="573"/>
      <c r="O16" s="573"/>
      <c r="P16" s="573"/>
      <c r="Q16" s="574"/>
    </row>
    <row r="17" spans="1:22" x14ac:dyDescent="0.2">
      <c r="A17" s="603" t="s">
        <v>322</v>
      </c>
      <c r="B17" s="575">
        <f t="shared" ref="B17:B33" si="8">SUM(F17:Q17)</f>
        <v>13597393.514423076</v>
      </c>
      <c r="C17" s="573">
        <f t="shared" ref="C17:C33" si="9">B17/$B$5*100</f>
        <v>148.54703166318924</v>
      </c>
      <c r="D17" s="573">
        <f t="shared" ref="D17:D33" si="10">B17/$D$3</f>
        <v>9564.6837347564069</v>
      </c>
      <c r="E17" s="574" t="e">
        <f t="shared" ref="E17:E33" si="11">B17/$E$3</f>
        <v>#DIV/0!</v>
      </c>
      <c r="F17" s="812">
        <f>F7*F8</f>
        <v>1047695.076923077</v>
      </c>
      <c r="G17" s="813">
        <f t="shared" ref="G17:Q17" si="12">G7*G8</f>
        <v>1051650</v>
      </c>
      <c r="H17" s="813">
        <f t="shared" si="12"/>
        <v>1049737.5</v>
      </c>
      <c r="I17" s="813">
        <f t="shared" si="12"/>
        <v>1037390.625</v>
      </c>
      <c r="J17" s="813">
        <f t="shared" si="12"/>
        <v>1182698.4375</v>
      </c>
      <c r="K17" s="813">
        <f t="shared" si="12"/>
        <v>1241985.9375</v>
      </c>
      <c r="L17" s="813">
        <f t="shared" si="12"/>
        <v>1189265.625</v>
      </c>
      <c r="M17" s="813">
        <f t="shared" si="12"/>
        <v>1215829.6875</v>
      </c>
      <c r="N17" s="813">
        <f t="shared" si="12"/>
        <v>1163953.125</v>
      </c>
      <c r="O17" s="813">
        <f t="shared" si="12"/>
        <v>1189673.4375</v>
      </c>
      <c r="P17" s="813">
        <f t="shared" si="12"/>
        <v>1176595.3125</v>
      </c>
      <c r="Q17" s="814">
        <f t="shared" si="12"/>
        <v>1050918.75</v>
      </c>
      <c r="R17" s="820">
        <f>'P1 Feeding'!C5/'P1 CF'!O20*1000</f>
        <v>393.62016503165933</v>
      </c>
      <c r="S17" s="570" t="s">
        <v>571</v>
      </c>
      <c r="V17" s="570">
        <v>800</v>
      </c>
    </row>
    <row r="18" spans="1:22" x14ac:dyDescent="0.2">
      <c r="A18" s="603" t="s">
        <v>323</v>
      </c>
      <c r="B18" s="575">
        <f t="shared" si="8"/>
        <v>122895.5</v>
      </c>
      <c r="C18" s="573">
        <f t="shared" si="9"/>
        <v>1.3425927337029082</v>
      </c>
      <c r="D18" s="573">
        <f t="shared" si="10"/>
        <v>86.447199507605731</v>
      </c>
      <c r="E18" s="574" t="e">
        <f t="shared" si="11"/>
        <v>#DIV/0!</v>
      </c>
      <c r="F18" s="812">
        <f>('P1 Feeding'!D6+'P2 Feeding'!D6)*Financial!$R$18</f>
        <v>14756</v>
      </c>
      <c r="G18" s="813">
        <f>('P1 Feeding'!E6+'P2 Feeding'!E6)*Financial!$R$18</f>
        <v>14280</v>
      </c>
      <c r="H18" s="813">
        <f>('P1 Feeding'!F6+'P2 Feeding'!F6)*Financial!$R$18</f>
        <v>16492</v>
      </c>
      <c r="I18" s="813">
        <f>('P1 Feeding'!G6+'P2 Feeding'!G6)*Financial!$R$18</f>
        <v>15120</v>
      </c>
      <c r="J18" s="813">
        <f>('P1 Feeding'!H6+'P2 Feeding'!H6)*Financial!$R$18</f>
        <v>10307.5</v>
      </c>
      <c r="K18" s="813">
        <f>('P1 Feeding'!I6+'P2 Feeding'!I6)*Financial!$R$18</f>
        <v>7595</v>
      </c>
      <c r="L18" s="813">
        <f>('P1 Feeding'!J6+'P2 Feeding'!J6)*Financial!$R$18</f>
        <v>7350</v>
      </c>
      <c r="M18" s="813">
        <f>('P1 Feeding'!K6+'P2 Feeding'!K6)*Financial!$R$18</f>
        <v>7595</v>
      </c>
      <c r="N18" s="813">
        <f>('P1 Feeding'!L6+'P2 Feeding'!L6)*Financial!$R$18</f>
        <v>7350</v>
      </c>
      <c r="O18" s="813">
        <f>('P1 Feeding'!M6+'P2 Feeding'!M6)*Financial!$R$18</f>
        <v>7595</v>
      </c>
      <c r="P18" s="813">
        <f>('P1 Feeding'!N6+'P2 Feeding'!N6)*Financial!$R$18</f>
        <v>7595</v>
      </c>
      <c r="Q18" s="814">
        <f>('P1 Feeding'!O6+'P2 Feeding'!O6)*Financial!$R$18</f>
        <v>6860</v>
      </c>
      <c r="R18" s="772">
        <v>3.5</v>
      </c>
      <c r="S18" s="570" t="s">
        <v>504</v>
      </c>
      <c r="V18" s="570">
        <v>400</v>
      </c>
    </row>
    <row r="19" spans="1:22" x14ac:dyDescent="0.2">
      <c r="A19" s="603" t="s">
        <v>358</v>
      </c>
      <c r="B19" s="575">
        <f t="shared" si="8"/>
        <v>990751.50000000012</v>
      </c>
      <c r="C19" s="573">
        <f t="shared" si="9"/>
        <v>10.823632800267358</v>
      </c>
      <c r="D19" s="573">
        <f t="shared" si="10"/>
        <v>696.91479820627808</v>
      </c>
      <c r="E19" s="574" t="e">
        <f t="shared" si="11"/>
        <v>#DIV/0!</v>
      </c>
      <c r="F19" s="812">
        <f>('P1 Feeding'!D7+'P2 Feeding'!D7)*Financial!$R$19</f>
        <v>33480</v>
      </c>
      <c r="G19" s="813">
        <f>('P1 Feeding'!E7+'P2 Feeding'!E7)*Financial!$R$19</f>
        <v>83025</v>
      </c>
      <c r="H19" s="813">
        <f>('P1 Feeding'!F7+'P2 Feeding'!F7)*Financial!$R$19</f>
        <v>159783.30000000002</v>
      </c>
      <c r="I19" s="813">
        <f>('P1 Feeding'!G7+'P2 Feeding'!G7)*Financial!$R$19</f>
        <v>153198</v>
      </c>
      <c r="J19" s="813">
        <f>('P1 Feeding'!H7+'P2 Feeding'!H7)*Financial!$R$19</f>
        <v>150436.80000000002</v>
      </c>
      <c r="K19" s="813">
        <f>('P1 Feeding'!I7+'P2 Feeding'!I7)*Financial!$R$19</f>
        <v>130460.40000000001</v>
      </c>
      <c r="L19" s="813">
        <f>('P1 Feeding'!J7+'P2 Feeding'!J7)*Financial!$R$19</f>
        <v>117288</v>
      </c>
      <c r="M19" s="813">
        <f>('P1 Feeding'!K7+'P2 Feeding'!K7)*Financial!$R$19</f>
        <v>33479.999999999993</v>
      </c>
      <c r="N19" s="813">
        <f>('P1 Feeding'!L7+'P2 Feeding'!L7)*Financial!$R$19</f>
        <v>32399.999999999993</v>
      </c>
      <c r="O19" s="813">
        <f>('P1 Feeding'!M7+'P2 Feeding'!M7)*Financial!$R$19</f>
        <v>33479.999999999993</v>
      </c>
      <c r="P19" s="813">
        <f>('P1 Feeding'!N7+'P2 Feeding'!N7)*Financial!$R$19</f>
        <v>33479.999999999993</v>
      </c>
      <c r="Q19" s="814">
        <f>('P1 Feeding'!O7+'P2 Feeding'!O7)*Financial!$R$19</f>
        <v>30239.999999999993</v>
      </c>
      <c r="R19" s="772">
        <v>4.5</v>
      </c>
      <c r="S19" s="570" t="s">
        <v>505</v>
      </c>
      <c r="V19" s="570">
        <f>V17*V18</f>
        <v>320000</v>
      </c>
    </row>
    <row r="20" spans="1:22" x14ac:dyDescent="0.2">
      <c r="A20" s="603" t="s">
        <v>324</v>
      </c>
      <c r="B20" s="575">
        <f t="shared" si="8"/>
        <v>0</v>
      </c>
      <c r="C20" s="573">
        <f t="shared" si="9"/>
        <v>0</v>
      </c>
      <c r="D20" s="573">
        <f t="shared" si="10"/>
        <v>0</v>
      </c>
      <c r="E20" s="574" t="e">
        <f t="shared" si="11"/>
        <v>#DIV/0!</v>
      </c>
      <c r="F20" s="812">
        <f>('P1 CF'!C41+'P1 CF'!C42+'P2 CF'!C37+'P2 CF'!C38)*Financial!$R$20</f>
        <v>0</v>
      </c>
      <c r="G20" s="813">
        <f>('P1 CF'!D41+'P1 CF'!D42+'P2 CF'!D37+'P2 CF'!D38)*Financial!$R$20</f>
        <v>0</v>
      </c>
      <c r="H20" s="813">
        <f>('P1 CF'!E41+'P1 CF'!E42+'P2 CF'!E37+'P2 CF'!E38)*Financial!$R$20</f>
        <v>0</v>
      </c>
      <c r="I20" s="813">
        <f>('P1 CF'!F41+'P1 CF'!F42+'P2 CF'!F37+'P2 CF'!F38)*Financial!$R$20</f>
        <v>0</v>
      </c>
      <c r="J20" s="813">
        <f>('P1 CF'!G41+'P1 CF'!G42+'P2 CF'!G37+'P2 CF'!G38)*Financial!$R$20</f>
        <v>0</v>
      </c>
      <c r="K20" s="813">
        <f>('P1 CF'!H41+'P1 CF'!H42+'P2 CF'!H37+'P2 CF'!H38)*Financial!$R$20</f>
        <v>0</v>
      </c>
      <c r="L20" s="813">
        <f>('P1 CF'!I41+'P1 CF'!I42+'P2 CF'!I37+'P2 CF'!I38)*Financial!$R$20</f>
        <v>0</v>
      </c>
      <c r="M20" s="813">
        <f>('P1 CF'!J41+'P1 CF'!J42+'P2 CF'!J37+'P2 CF'!J38)*Financial!$R$20</f>
        <v>0</v>
      </c>
      <c r="N20" s="813">
        <f>('P1 CF'!K41+'P1 CF'!K42+'P2 CF'!K37+'P2 CF'!K38)*Financial!$R$20</f>
        <v>0</v>
      </c>
      <c r="O20" s="813">
        <f>('P1 CF'!L41+'P1 CF'!L42+'P2 CF'!L37+'P2 CF'!L38)*Financial!$R$20</f>
        <v>0</v>
      </c>
      <c r="P20" s="813">
        <f>('P1 CF'!M41+'P1 CF'!M42+'P2 CF'!M37+'P2 CF'!M38)*Financial!$R$20</f>
        <v>0</v>
      </c>
      <c r="Q20" s="814">
        <f>('P1 CF'!N41+'P1 CF'!N42+'P2 CF'!N37+'P2 CF'!N38)*Financial!$R$20</f>
        <v>0</v>
      </c>
      <c r="R20" s="570">
        <v>300</v>
      </c>
      <c r="S20" s="570" t="s">
        <v>359</v>
      </c>
      <c r="V20" s="570">
        <f>V19*2.2</f>
        <v>704000</v>
      </c>
    </row>
    <row r="21" spans="1:22" x14ac:dyDescent="0.2">
      <c r="A21" s="603" t="s">
        <v>325</v>
      </c>
      <c r="B21" s="575">
        <f t="shared" si="8"/>
        <v>3802910.2167182676</v>
      </c>
      <c r="C21" s="573">
        <f t="shared" si="9"/>
        <v>41.545537663221992</v>
      </c>
      <c r="D21" s="573">
        <f t="shared" si="10"/>
        <v>2675.0445558556353</v>
      </c>
      <c r="E21" s="574" t="e">
        <f t="shared" si="11"/>
        <v>#DIV/0!</v>
      </c>
      <c r="F21" s="812">
        <f>'P1 Supps'!C15+'P1 Supps'!C26+'P1 Supps'!C37+'P1 Supps'!C48+'P2 Supps'!C15+'P2 Supps'!C26+'P2 Supps'!C37+'P2 Supps'!C48</f>
        <v>0</v>
      </c>
      <c r="G21" s="813">
        <f>'P1 Supps'!D15+'P1 Supps'!D26+'P1 Supps'!D37+'P1 Supps'!D48+'P2 Supps'!D15+'P2 Supps'!D26+'P2 Supps'!D37+'P2 Supps'!D48</f>
        <v>0</v>
      </c>
      <c r="H21" s="813">
        <f>'P1 Supps'!E15+'P1 Supps'!E26+'P1 Supps'!E37+'P1 Supps'!E48+'P2 Supps'!E15+'P2 Supps'!E26+'P2 Supps'!E37+'P2 Supps'!E48</f>
        <v>1147213.6222910217</v>
      </c>
      <c r="I21" s="813">
        <f>'P1 Supps'!F15+'P1 Supps'!F26+'P1 Supps'!F37+'P1 Supps'!F48+'P2 Supps'!F15+'P2 Supps'!F26+'P2 Supps'!F37+'P2 Supps'!F48</f>
        <v>659907.12074303417</v>
      </c>
      <c r="J21" s="813">
        <f>'P1 Supps'!G15+'P1 Supps'!G26+'P1 Supps'!G37+'P1 Supps'!G48+'P2 Supps'!G15+'P2 Supps'!G26+'P2 Supps'!G37+'P2 Supps'!G48</f>
        <v>688513.93188854493</v>
      </c>
      <c r="K21" s="813">
        <f>'P1 Supps'!H15+'P1 Supps'!H26+'P1 Supps'!H37+'P1 Supps'!H48+'P2 Supps'!H15+'P2 Supps'!H26+'P2 Supps'!H37+'P2 Supps'!H48</f>
        <v>301393.18885448918</v>
      </c>
      <c r="L21" s="813">
        <f>'P1 Supps'!I15+'P1 Supps'!I26+'P1 Supps'!I37+'P1 Supps'!I48+'P2 Supps'!I15+'P2 Supps'!I26+'P2 Supps'!I37+'P2 Supps'!I48</f>
        <v>167647.05882352943</v>
      </c>
      <c r="M21" s="813">
        <f>'P1 Supps'!J15+'P1 Supps'!J26+'P1 Supps'!J37+'P1 Supps'!J48+'P2 Supps'!J15+'P2 Supps'!J26+'P2 Supps'!J37+'P2 Supps'!J48</f>
        <v>167647.05882352943</v>
      </c>
      <c r="N21" s="813">
        <f>'P1 Supps'!K15+'P1 Supps'!K26+'P1 Supps'!K37+'P1 Supps'!K48+'P2 Supps'!K15+'P2 Supps'!K26+'P2 Supps'!K37+'P2 Supps'!K48</f>
        <v>167647.05882352943</v>
      </c>
      <c r="O21" s="813">
        <f>'P1 Supps'!L15+'P1 Supps'!L26+'P1 Supps'!L37+'P1 Supps'!L48+'P2 Supps'!L15+'P2 Supps'!L26+'P2 Supps'!L37+'P2 Supps'!L48</f>
        <v>167647.05882352943</v>
      </c>
      <c r="P21" s="813">
        <f>'P1 Supps'!M15+'P1 Supps'!M26+'P1 Supps'!M37+'P1 Supps'!M48+'P2 Supps'!M15+'P2 Supps'!M26+'P2 Supps'!M37+'P2 Supps'!M48</f>
        <v>167647.05882352943</v>
      </c>
      <c r="Q21" s="814">
        <f>'P1 Supps'!N15+'P1 Supps'!N26+'P1 Supps'!N37+'P1 Supps'!N48+'P2 Supps'!N15+'P2 Supps'!N26+'P2 Supps'!N37+'P2 Supps'!N48</f>
        <v>167647.05882352943</v>
      </c>
    </row>
    <row r="22" spans="1:22" x14ac:dyDescent="0.2">
      <c r="A22" s="603" t="s">
        <v>361</v>
      </c>
      <c r="B22" s="575">
        <f t="shared" si="8"/>
        <v>501600</v>
      </c>
      <c r="C22" s="573">
        <f t="shared" si="9"/>
        <v>5.4798142749358503</v>
      </c>
      <c r="D22" s="573">
        <f t="shared" si="10"/>
        <v>352.83566341334739</v>
      </c>
      <c r="E22" s="574" t="e">
        <f t="shared" si="11"/>
        <v>#DIV/0!</v>
      </c>
      <c r="F22" s="812">
        <f>IF('P1 Supps'!C52&gt;0,'P1 Supps'!C52/'P1 Supps'!$B$58*'P1 Supps'!$B$51,0)+IF('P2 Supps'!C52&gt;0,'P2 Supps'!C52/'P2 Supps'!$B$58*'P2 Supps'!$B$51,0)</f>
        <v>0</v>
      </c>
      <c r="G22" s="813">
        <f>IF('P1 Supps'!D52&gt;0,'P1 Supps'!D52/'P1 Supps'!$B$58*'P1 Supps'!$B$51,0)+IF('P2 Supps'!D52&gt;0,'P2 Supps'!D52/'P2 Supps'!$B$58*'P2 Supps'!$B$51,0)</f>
        <v>0</v>
      </c>
      <c r="H22" s="813">
        <f>IF('P1 Supps'!E52&gt;0,'P1 Supps'!E52/'P1 Supps'!$B$58*'P1 Supps'!$B$51,0)+IF('P2 Supps'!E52&gt;0,'P2 Supps'!E52/'P2 Supps'!$B$58*'P2 Supps'!$B$51,0)</f>
        <v>0</v>
      </c>
      <c r="I22" s="813">
        <f>IF('P1 Supps'!F52&gt;0,'P1 Supps'!F52/'P1 Supps'!$B$58*'P1 Supps'!$B$51,0)+IF('P2 Supps'!F52&gt;0,'P2 Supps'!F52/'P2 Supps'!$B$58*'P2 Supps'!$B$51,0)</f>
        <v>0</v>
      </c>
      <c r="J22" s="813">
        <f>IF('P1 Supps'!G52&gt;0,'P1 Supps'!G52/'P1 Supps'!$B$58*'P1 Supps'!$B$51,0)+IF('P2 Supps'!G52&gt;0,'P2 Supps'!G52/'P2 Supps'!$B$58*'P2 Supps'!$B$51,0)</f>
        <v>0</v>
      </c>
      <c r="K22" s="813">
        <f>IF('P1 Supps'!H52&gt;0,'P1 Supps'!H52/'P1 Supps'!$B$58*'P1 Supps'!$B$51,0)+IF('P2 Supps'!H52&gt;0,'P2 Supps'!H52/'P2 Supps'!$B$58*'P2 Supps'!$B$51,0)</f>
        <v>0</v>
      </c>
      <c r="L22" s="813">
        <f>IF('P1 Supps'!I52&gt;0,'P1 Supps'!I52/'P1 Supps'!$B$58*'P1 Supps'!$B$51,0)+IF('P2 Supps'!I52&gt;0,'P2 Supps'!I52/'P2 Supps'!$B$58*'P2 Supps'!$B$51,0)</f>
        <v>0</v>
      </c>
      <c r="M22" s="813">
        <f>IF('P1 Supps'!J52&gt;0,'P1 Supps'!J52/'P1 Supps'!$B$58*'P1 Supps'!$B$51,0)+IF('P2 Supps'!J52&gt;0,'P2 Supps'!J52/'P2 Supps'!$B$58*'P2 Supps'!$B$51,0)</f>
        <v>220000</v>
      </c>
      <c r="N22" s="813">
        <f>IF('P1 Supps'!K52&gt;0,'P1 Supps'!K52/'P1 Supps'!$B$58*'P1 Supps'!$B$51,0)+IF('P2 Supps'!K52&gt;0,'P2 Supps'!K52/'P2 Supps'!$B$58*'P2 Supps'!$B$51,0)</f>
        <v>281600</v>
      </c>
      <c r="O22" s="813">
        <f>IF('P1 Supps'!L52&gt;0,'P1 Supps'!L52/'P1 Supps'!$B$58*'P1 Supps'!$B$51,0)+IF('P2 Supps'!L52&gt;0,'P2 Supps'!L52/'P2 Supps'!$B$58*'P2 Supps'!$B$51,0)</f>
        <v>0</v>
      </c>
      <c r="P22" s="813">
        <f>IF('P1 Supps'!M52&gt;0,'P1 Supps'!M52/'P1 Supps'!$B$58*'P1 Supps'!$B$51,0)+IF('P2 Supps'!M52&gt;0,'P2 Supps'!M52/'P2 Supps'!$B$58*'P2 Supps'!$B$51,0)</f>
        <v>0</v>
      </c>
      <c r="Q22" s="814">
        <f>IF('P1 Supps'!N52&gt;0,'P1 Supps'!N52/'P1 Supps'!$B$58*'P1 Supps'!$B$51,0)+IF('P2 Supps'!N52&gt;0,'P2 Supps'!N52/'P2 Supps'!$B$58*'P2 Supps'!$B$51,0)</f>
        <v>0</v>
      </c>
    </row>
    <row r="23" spans="1:22" x14ac:dyDescent="0.2">
      <c r="A23" s="603" t="s">
        <v>362</v>
      </c>
      <c r="B23" s="575">
        <f t="shared" si="8"/>
        <v>0</v>
      </c>
      <c r="C23" s="573">
        <f t="shared" si="9"/>
        <v>0</v>
      </c>
      <c r="D23" s="573">
        <f t="shared" si="10"/>
        <v>0</v>
      </c>
      <c r="E23" s="574" t="e">
        <f t="shared" si="11"/>
        <v>#DIV/0!</v>
      </c>
      <c r="F23" s="812">
        <f>'P1 Supps'!T64+'P1 Supps'!T74+'P1 Supps'!T84+'P1 Supps'!T94+'P1 Supps'!T103+'P1 Supps'!T112+'P2 Supps'!T64+'P2 Supps'!T74+'P2 Supps'!T84+'P2 Supps'!T94+'P2 Supps'!T103+'P2 Supps'!T112</f>
        <v>0</v>
      </c>
      <c r="G23" s="813">
        <f>'P1 Supps'!U64+'P1 Supps'!U74+'P1 Supps'!U84+'P1 Supps'!U94+'P1 Supps'!U103+'P1 Supps'!U112+'P2 Supps'!U64+'P2 Supps'!U74+'P2 Supps'!U84+'P2 Supps'!U94+'P2 Supps'!U103+'P2 Supps'!U112</f>
        <v>0</v>
      </c>
      <c r="H23" s="813">
        <f>'P1 Supps'!V64+'P1 Supps'!V74+'P1 Supps'!V84+'P1 Supps'!V94+'P1 Supps'!V103+'P1 Supps'!V112+'P2 Supps'!V64+'P2 Supps'!V74+'P2 Supps'!V84+'P2 Supps'!V94+'P2 Supps'!V103+'P2 Supps'!V112</f>
        <v>0</v>
      </c>
      <c r="I23" s="813">
        <f>'P1 Supps'!W64+'P1 Supps'!W74+'P1 Supps'!W84+'P1 Supps'!W94+'P1 Supps'!W103+'P1 Supps'!W112+'P2 Supps'!W64+'P2 Supps'!W74+'P2 Supps'!W84+'P2 Supps'!W94+'P2 Supps'!W103+'P2 Supps'!W112</f>
        <v>0</v>
      </c>
      <c r="J23" s="813">
        <f>'P1 Supps'!X64+'P1 Supps'!X74+'P1 Supps'!X84+'P1 Supps'!X94+'P1 Supps'!X103+'P1 Supps'!X112+'P2 Supps'!X64+'P2 Supps'!X74+'P2 Supps'!X84+'P2 Supps'!X94+'P2 Supps'!X103+'P2 Supps'!X112</f>
        <v>0</v>
      </c>
      <c r="K23" s="813">
        <f>'P1 Supps'!Y64+'P1 Supps'!Y74+'P1 Supps'!Y84+'P1 Supps'!Y94+'P1 Supps'!Y103+'P1 Supps'!Y112+'P2 Supps'!Y64+'P2 Supps'!Y74+'P2 Supps'!Y84+'P2 Supps'!Y94+'P2 Supps'!Y103+'P2 Supps'!Y112</f>
        <v>0</v>
      </c>
      <c r="L23" s="813">
        <f>'P1 Supps'!Z64+'P1 Supps'!Z74+'P1 Supps'!Z84+'P1 Supps'!Z94+'P1 Supps'!Z103+'P1 Supps'!Z112+'P2 Supps'!Z64+'P2 Supps'!Z74+'P2 Supps'!Z84+'P2 Supps'!Z94+'P2 Supps'!Z103+'P2 Supps'!Z112</f>
        <v>0</v>
      </c>
      <c r="M23" s="813">
        <f>'P1 Supps'!AA64+'P1 Supps'!AA74+'P1 Supps'!AA84+'P1 Supps'!AA94+'P1 Supps'!AA103+'P1 Supps'!AA112+'P2 Supps'!AA64+'P2 Supps'!AA74+'P2 Supps'!AA84+'P2 Supps'!AA94+'P2 Supps'!AA103+'P2 Supps'!AA112</f>
        <v>0</v>
      </c>
      <c r="N23" s="813">
        <f>'P1 Supps'!AB64+'P1 Supps'!AB74+'P1 Supps'!AB84+'P1 Supps'!AB94+'P1 Supps'!AB103+'P1 Supps'!AB112+'P2 Supps'!AB64+'P2 Supps'!AB74+'P2 Supps'!AB84+'P2 Supps'!AB94+'P2 Supps'!AB103+'P2 Supps'!AB112</f>
        <v>0</v>
      </c>
      <c r="O23" s="813">
        <f>'P1 Supps'!AC64+'P1 Supps'!AC74+'P1 Supps'!AC84+'P1 Supps'!AC94+'P1 Supps'!AC103+'P1 Supps'!AC112+'P2 Supps'!AC64+'P2 Supps'!AC74+'P2 Supps'!AC84+'P2 Supps'!AC94+'P2 Supps'!AC103+'P2 Supps'!AC112</f>
        <v>0</v>
      </c>
      <c r="P23" s="813">
        <f>'P1 Supps'!AD64+'P1 Supps'!AD74+'P1 Supps'!AD84+'P1 Supps'!AD94+'P1 Supps'!AD103+'P1 Supps'!AD112+'P2 Supps'!AD64+'P2 Supps'!AD74+'P2 Supps'!AD84+'P2 Supps'!AD94+'P2 Supps'!AD103+'P2 Supps'!AD112</f>
        <v>0</v>
      </c>
      <c r="Q23" s="814">
        <f>'P1 Supps'!AE64+'P1 Supps'!AE74+'P1 Supps'!AE84+'P1 Supps'!AE94+'P1 Supps'!AE103+'P1 Supps'!AE112+'P2 Supps'!AE64+'P2 Supps'!AE74+'P2 Supps'!AE84+'P2 Supps'!AE94+'P2 Supps'!AE103+'P2 Supps'!AE112</f>
        <v>0</v>
      </c>
    </row>
    <row r="24" spans="1:22" x14ac:dyDescent="0.2">
      <c r="A24" s="603" t="s">
        <v>326</v>
      </c>
      <c r="B24" s="575">
        <f t="shared" si="8"/>
        <v>300000</v>
      </c>
      <c r="C24" s="573">
        <f t="shared" si="9"/>
        <v>3.2774008821386666</v>
      </c>
      <c r="D24" s="573">
        <f t="shared" si="10"/>
        <v>211.02611448166709</v>
      </c>
      <c r="E24" s="574" t="e">
        <f t="shared" si="11"/>
        <v>#DIV/0!</v>
      </c>
      <c r="F24" s="616"/>
      <c r="G24" s="573"/>
      <c r="H24" s="573"/>
      <c r="I24" s="573"/>
      <c r="J24" s="573"/>
      <c r="K24" s="573"/>
      <c r="L24" s="573"/>
      <c r="M24" s="573"/>
      <c r="N24" s="573"/>
      <c r="O24" s="573">
        <v>300000</v>
      </c>
      <c r="P24" s="573"/>
      <c r="Q24" s="574"/>
    </row>
    <row r="25" spans="1:22" x14ac:dyDescent="0.2">
      <c r="A25" s="603" t="s">
        <v>15</v>
      </c>
      <c r="B25" s="575">
        <f t="shared" si="8"/>
        <v>210676.4705882353</v>
      </c>
      <c r="C25" s="573">
        <f t="shared" si="9"/>
        <v>2.3015708351724773</v>
      </c>
      <c r="D25" s="573">
        <f t="shared" si="10"/>
        <v>148.19412333648839</v>
      </c>
      <c r="E25" s="574" t="e">
        <f t="shared" si="11"/>
        <v>#DIV/0!</v>
      </c>
      <c r="F25" s="616">
        <f>'P1 S&amp;F'!K19+'P2 S&amp;F'!K19+'P1 S&amp;F'!K23*'P1 S&amp;F'!$Z$11</f>
        <v>80676.470588235301</v>
      </c>
      <c r="G25" s="573">
        <f>'P1 S&amp;F'!L19+'P2 S&amp;F'!L19+'P1 S&amp;F'!L23*'P1 S&amp;F'!$Z$11</f>
        <v>0</v>
      </c>
      <c r="H25" s="573">
        <f>'P1 S&amp;F'!M19+'P2 S&amp;F'!M19+'P1 S&amp;F'!M23*'P1 S&amp;F'!$Z$11</f>
        <v>0</v>
      </c>
      <c r="I25" s="573">
        <f>'P1 S&amp;F'!N19+'P2 S&amp;F'!N19+'P1 S&amp;F'!N23*'P1 S&amp;F'!$Z$11</f>
        <v>0</v>
      </c>
      <c r="J25" s="573">
        <f>'P1 S&amp;F'!O19+'P2 S&amp;F'!O19+'P1 S&amp;F'!O23*'P1 S&amp;F'!$Z$11</f>
        <v>0</v>
      </c>
      <c r="K25" s="573">
        <f>'P1 S&amp;F'!P19+'P2 S&amp;F'!P19+'P1 S&amp;F'!P23*'P1 S&amp;F'!$Z$11</f>
        <v>130000</v>
      </c>
      <c r="L25" s="573">
        <f>'P1 S&amp;F'!Q19+'P2 S&amp;F'!Q19+'P1 S&amp;F'!Q23*'P1 S&amp;F'!$Z$11</f>
        <v>0</v>
      </c>
      <c r="M25" s="573">
        <f>'P1 S&amp;F'!R19+'P2 S&amp;F'!R19+'P1 S&amp;F'!R23*'P1 S&amp;F'!$Z$11</f>
        <v>0</v>
      </c>
      <c r="N25" s="573">
        <f>'P1 S&amp;F'!S19+'P2 S&amp;F'!S19+'P1 S&amp;F'!S23*'P1 S&amp;F'!$Z$11</f>
        <v>0</v>
      </c>
      <c r="O25" s="573">
        <f>'P1 S&amp;F'!T19+'P2 S&amp;F'!T19+'P1 S&amp;F'!T23*'P1 S&amp;F'!$Z$11</f>
        <v>0</v>
      </c>
      <c r="P25" s="573">
        <f>'P1 S&amp;F'!U19+'P2 S&amp;F'!U19+'P1 S&amp;F'!U23*'P1 S&amp;F'!$Z$11</f>
        <v>0</v>
      </c>
      <c r="Q25" s="574">
        <f>'P1 S&amp;F'!V19+'P2 S&amp;F'!V19+'P1 S&amp;F'!V23*'P1 S&amp;F'!$Z$11</f>
        <v>0</v>
      </c>
    </row>
    <row r="26" spans="1:22" x14ac:dyDescent="0.2">
      <c r="A26" s="603" t="s">
        <v>327</v>
      </c>
      <c r="B26" s="575">
        <f t="shared" si="8"/>
        <v>20647.058823529413</v>
      </c>
      <c r="C26" s="573">
        <f t="shared" si="9"/>
        <v>0.22556229600601413</v>
      </c>
      <c r="D26" s="573">
        <f t="shared" si="10"/>
        <v>14.523561996679442</v>
      </c>
      <c r="E26" s="574" t="e">
        <f t="shared" si="11"/>
        <v>#DIV/0!</v>
      </c>
      <c r="F26" s="616">
        <f>'P1 S&amp;F'!K23*'P1 S&amp;F'!$Z$12</f>
        <v>20647.058823529413</v>
      </c>
      <c r="G26" s="573">
        <f>'P1 S&amp;F'!L23*'P1 S&amp;F'!$Z$12</f>
        <v>0</v>
      </c>
      <c r="H26" s="573">
        <f>'P1 S&amp;F'!M23*'P1 S&amp;F'!$Z$12</f>
        <v>0</v>
      </c>
      <c r="I26" s="573">
        <f>'P1 S&amp;F'!N23*'P1 S&amp;F'!$Z$12</f>
        <v>0</v>
      </c>
      <c r="J26" s="573">
        <f>'P1 S&amp;F'!O23*'P1 S&amp;F'!$Z$12</f>
        <v>0</v>
      </c>
      <c r="K26" s="573">
        <f>'P1 S&amp;F'!P23*'P1 S&amp;F'!$Z$12</f>
        <v>0</v>
      </c>
      <c r="L26" s="573">
        <f>'P1 S&amp;F'!Q23*'P1 S&amp;F'!$Z$12</f>
        <v>0</v>
      </c>
      <c r="M26" s="573">
        <f>'P1 S&amp;F'!R23*'P1 S&amp;F'!$Z$12</f>
        <v>0</v>
      </c>
      <c r="N26" s="573">
        <f>'P1 S&amp;F'!S23*'P1 S&amp;F'!$Z$12</f>
        <v>0</v>
      </c>
      <c r="O26" s="573">
        <f>'P1 S&amp;F'!T23*'P1 S&amp;F'!$Z$12</f>
        <v>0</v>
      </c>
      <c r="P26" s="573">
        <f>'P1 S&amp;F'!U23*'P1 S&amp;F'!$Z$12</f>
        <v>0</v>
      </c>
      <c r="Q26" s="574">
        <f>'P1 S&amp;F'!V23*'P1 S&amp;F'!$Z$12</f>
        <v>0</v>
      </c>
    </row>
    <row r="27" spans="1:22" x14ac:dyDescent="0.2">
      <c r="A27" s="603" t="s">
        <v>328</v>
      </c>
      <c r="B27" s="575">
        <f t="shared" si="8"/>
        <v>9176.4705882352937</v>
      </c>
      <c r="C27" s="573">
        <f t="shared" si="9"/>
        <v>0.10024990933600628</v>
      </c>
      <c r="D27" s="573">
        <f t="shared" si="10"/>
        <v>6.4549164429686403</v>
      </c>
      <c r="E27" s="574" t="e">
        <f t="shared" si="11"/>
        <v>#DIV/0!</v>
      </c>
      <c r="F27" s="616">
        <f>'P1 S&amp;F'!K27+'P2 S&amp;F'!K27+'P1 S&amp;F'!K23*'P1 S&amp;F'!$Z$13</f>
        <v>9176.4705882352937</v>
      </c>
      <c r="G27" s="616">
        <f>'P1 S&amp;F'!L27+'P2 S&amp;F'!L27+'P1 S&amp;F'!L23*'P1 S&amp;F'!$Z$13</f>
        <v>0</v>
      </c>
      <c r="H27" s="616">
        <f>'P1 S&amp;F'!M27+'P2 S&amp;F'!M27+'P1 S&amp;F'!M23*'P1 S&amp;F'!$Z$13</f>
        <v>0</v>
      </c>
      <c r="I27" s="616">
        <f>'P1 S&amp;F'!N27+'P2 S&amp;F'!N27+'P1 S&amp;F'!N23*'P1 S&amp;F'!$Z$13</f>
        <v>0</v>
      </c>
      <c r="J27" s="616">
        <f>'P1 S&amp;F'!O27+'P2 S&amp;F'!O27+'P1 S&amp;F'!O23*'P1 S&amp;F'!$Z$13</f>
        <v>0</v>
      </c>
      <c r="K27" s="616">
        <f>'P1 S&amp;F'!P27+'P2 S&amp;F'!P27+'P1 S&amp;F'!P23*'P1 S&amp;F'!$Z$13</f>
        <v>0</v>
      </c>
      <c r="L27" s="616">
        <f>'P1 S&amp;F'!Q27+'P2 S&amp;F'!Q27+'P1 S&amp;F'!Q23*'P1 S&amp;F'!$Z$13</f>
        <v>0</v>
      </c>
      <c r="M27" s="616">
        <f>'P1 S&amp;F'!R27+'P2 S&amp;F'!R27+'P1 S&amp;F'!R23*'P1 S&amp;F'!$Z$13</f>
        <v>0</v>
      </c>
      <c r="N27" s="616">
        <f>'P1 S&amp;F'!S27+'P2 S&amp;F'!S27+'P1 S&amp;F'!S23*'P1 S&amp;F'!$Z$13</f>
        <v>0</v>
      </c>
      <c r="O27" s="616">
        <f>'P1 S&amp;F'!T27+'P2 S&amp;F'!T27+'P1 S&amp;F'!T23*'P1 S&amp;F'!$Z$13</f>
        <v>0</v>
      </c>
      <c r="P27" s="616">
        <f>'P1 S&amp;F'!U27+'P2 S&amp;F'!U27+'P1 S&amp;F'!U23*'P1 S&amp;F'!$Z$13</f>
        <v>0</v>
      </c>
      <c r="Q27" s="574">
        <f>'P1 S&amp;F'!V27+'P2 S&amp;F'!V27+'P1 S&amp;F'!V23*'P1 S&amp;F'!$Z$13</f>
        <v>0</v>
      </c>
    </row>
    <row r="28" spans="1:22" x14ac:dyDescent="0.2">
      <c r="A28" s="603" t="s">
        <v>329</v>
      </c>
      <c r="B28" s="575">
        <f t="shared" si="8"/>
        <v>231120</v>
      </c>
      <c r="C28" s="573">
        <f t="shared" si="9"/>
        <v>2.5249096395996284</v>
      </c>
      <c r="D28" s="573">
        <f t="shared" si="10"/>
        <v>162.57451859667634</v>
      </c>
      <c r="E28" s="574" t="e">
        <f t="shared" si="11"/>
        <v>#DIV/0!</v>
      </c>
      <c r="F28" s="573">
        <f>'P1 S&amp;F'!K30+'P1 S&amp;F'!K33+'P1 S&amp;F'!K34+'P2 S&amp;F'!K30+'P2 S&amp;F'!K33+'P2 S&amp;F'!K34</f>
        <v>0</v>
      </c>
      <c r="G28" s="573">
        <f>'P1 S&amp;F'!L30+'P1 S&amp;F'!L33+'P1 S&amp;F'!L34+'P2 S&amp;F'!L30+'P2 S&amp;F'!L33+'P2 S&amp;F'!L34</f>
        <v>0</v>
      </c>
      <c r="H28" s="573">
        <f>'P1 S&amp;F'!M30+'P1 S&amp;F'!M33+'P1 S&amp;F'!M34+'P2 S&amp;F'!M30+'P2 S&amp;F'!M33+'P2 S&amp;F'!M34</f>
        <v>0</v>
      </c>
      <c r="I28" s="573">
        <f>'P1 S&amp;F'!N30+'P1 S&amp;F'!N33+'P1 S&amp;F'!N34+'P2 S&amp;F'!N30+'P2 S&amp;F'!N33+'P2 S&amp;F'!N34</f>
        <v>0</v>
      </c>
      <c r="J28" s="573">
        <f>'P1 S&amp;F'!O30+'P1 S&amp;F'!O33+'P1 S&amp;F'!O34+'P2 S&amp;F'!O30+'P2 S&amp;F'!O33+'P2 S&amp;F'!O34</f>
        <v>0</v>
      </c>
      <c r="K28" s="573">
        <f>'P1 S&amp;F'!P30+'P1 S&amp;F'!P33+'P1 S&amp;F'!P34+'P2 S&amp;F'!P30+'P2 S&amp;F'!P33+'P2 S&amp;F'!P34</f>
        <v>0</v>
      </c>
      <c r="L28" s="573">
        <f>'P1 S&amp;F'!Q30+'P1 S&amp;F'!Q33+'P1 S&amp;F'!Q34+'P2 S&amp;F'!Q30+'P2 S&amp;F'!Q33+'P2 S&amp;F'!Q34</f>
        <v>231120</v>
      </c>
      <c r="M28" s="573">
        <f>'P1 S&amp;F'!R30+'P1 S&amp;F'!R33+'P1 S&amp;F'!R34+'P2 S&amp;F'!R30+'P2 S&amp;F'!R33+'P2 S&amp;F'!R34</f>
        <v>0</v>
      </c>
      <c r="N28" s="573">
        <f>'P1 S&amp;F'!S30+'P1 S&amp;F'!S33+'P1 S&amp;F'!S34+'P2 S&amp;F'!S30+'P2 S&amp;F'!S33+'P2 S&amp;F'!S34</f>
        <v>0</v>
      </c>
      <c r="O28" s="573">
        <f>'P1 S&amp;F'!T30+'P1 S&amp;F'!T33+'P1 S&amp;F'!T34+'P2 S&amp;F'!T30+'P2 S&amp;F'!T33+'P2 S&amp;F'!T34</f>
        <v>0</v>
      </c>
      <c r="P28" s="573">
        <f>'P1 S&amp;F'!U30+'P1 S&amp;F'!U33+'P1 S&amp;F'!U34+'P2 S&amp;F'!U30+'P2 S&amp;F'!U33+'P2 S&amp;F'!U34</f>
        <v>0</v>
      </c>
      <c r="Q28" s="574">
        <f>'P1 S&amp;F'!V30+'P1 S&amp;F'!V33+'P1 S&amp;F'!V34+'P2 S&amp;F'!V30+'P2 S&amp;F'!V33+'P2 S&amp;F'!V34</f>
        <v>0</v>
      </c>
    </row>
    <row r="29" spans="1:22" x14ac:dyDescent="0.2">
      <c r="A29" s="603" t="s">
        <v>332</v>
      </c>
      <c r="B29" s="575">
        <f t="shared" si="8"/>
        <v>80000</v>
      </c>
      <c r="C29" s="573">
        <f t="shared" si="9"/>
        <v>0.87397356857031105</v>
      </c>
      <c r="D29" s="573">
        <f t="shared" si="10"/>
        <v>56.273630528444563</v>
      </c>
      <c r="E29" s="574" t="e">
        <f t="shared" si="11"/>
        <v>#DIV/0!</v>
      </c>
      <c r="F29" s="616"/>
      <c r="G29" s="573"/>
      <c r="H29" s="573"/>
      <c r="I29" s="573"/>
      <c r="J29" s="573"/>
      <c r="K29" s="573"/>
      <c r="L29" s="573">
        <v>80000</v>
      </c>
      <c r="M29" s="573"/>
      <c r="N29" s="573"/>
      <c r="O29" s="573"/>
      <c r="P29" s="573"/>
      <c r="Q29" s="574"/>
    </row>
    <row r="30" spans="1:22" x14ac:dyDescent="0.2">
      <c r="A30" s="603" t="s">
        <v>331</v>
      </c>
      <c r="B30" s="575">
        <f t="shared" si="8"/>
        <v>915359.49000000022</v>
      </c>
      <c r="C30" s="573">
        <f t="shared" si="9"/>
        <v>10.000000000000002</v>
      </c>
      <c r="D30" s="573">
        <f t="shared" si="10"/>
        <v>643.88252176206822</v>
      </c>
      <c r="E30" s="574" t="e">
        <f t="shared" si="11"/>
        <v>#DIV/0!</v>
      </c>
      <c r="F30" s="616">
        <f t="shared" ref="F30:Q30" si="13">F5*$R$30/100</f>
        <v>72447</v>
      </c>
      <c r="G30" s="573">
        <f t="shared" si="13"/>
        <v>70110</v>
      </c>
      <c r="H30" s="573">
        <f t="shared" si="13"/>
        <v>70727.12</v>
      </c>
      <c r="I30" s="573">
        <f t="shared" si="13"/>
        <v>69332.7</v>
      </c>
      <c r="J30" s="573">
        <f t="shared" si="13"/>
        <v>78394.97</v>
      </c>
      <c r="K30" s="573">
        <f t="shared" si="13"/>
        <v>82787.05</v>
      </c>
      <c r="L30" s="573">
        <f t="shared" si="13"/>
        <v>79943.100000000006</v>
      </c>
      <c r="M30" s="573">
        <f t="shared" si="13"/>
        <v>82136.05</v>
      </c>
      <c r="N30" s="573">
        <f t="shared" si="13"/>
        <v>78631.5</v>
      </c>
      <c r="O30" s="573">
        <f t="shared" si="13"/>
        <v>80369.05</v>
      </c>
      <c r="P30" s="573">
        <f t="shared" si="13"/>
        <v>79485.55</v>
      </c>
      <c r="Q30" s="574">
        <f t="shared" si="13"/>
        <v>70995.399999999994</v>
      </c>
      <c r="R30" s="570">
        <v>10</v>
      </c>
      <c r="S30" s="570" t="s">
        <v>413</v>
      </c>
    </row>
    <row r="31" spans="1:22" x14ac:dyDescent="0.2">
      <c r="A31" s="603" t="s">
        <v>330</v>
      </c>
      <c r="B31" s="575">
        <f t="shared" si="8"/>
        <v>1830718.9800000004</v>
      </c>
      <c r="C31" s="573">
        <f t="shared" si="9"/>
        <v>20.000000000000004</v>
      </c>
      <c r="D31" s="573">
        <f t="shared" si="10"/>
        <v>1287.7650435241364</v>
      </c>
      <c r="E31" s="574" t="e">
        <f t="shared" si="11"/>
        <v>#DIV/0!</v>
      </c>
      <c r="F31" s="616">
        <f>F5*$R$31/100</f>
        <v>144894</v>
      </c>
      <c r="G31" s="573">
        <f t="shared" ref="G31:Q31" si="14">G5*$R$31/100</f>
        <v>140220</v>
      </c>
      <c r="H31" s="573">
        <f t="shared" si="14"/>
        <v>141454.24</v>
      </c>
      <c r="I31" s="573">
        <f t="shared" si="14"/>
        <v>138665.4</v>
      </c>
      <c r="J31" s="573">
        <f t="shared" si="14"/>
        <v>156789.94</v>
      </c>
      <c r="K31" s="573">
        <f t="shared" si="14"/>
        <v>165574.1</v>
      </c>
      <c r="L31" s="573">
        <f t="shared" si="14"/>
        <v>159886.20000000001</v>
      </c>
      <c r="M31" s="573">
        <f t="shared" si="14"/>
        <v>164272.1</v>
      </c>
      <c r="N31" s="573">
        <f t="shared" si="14"/>
        <v>157263</v>
      </c>
      <c r="O31" s="573">
        <f t="shared" si="14"/>
        <v>160738.1</v>
      </c>
      <c r="P31" s="573">
        <f t="shared" si="14"/>
        <v>158971.1</v>
      </c>
      <c r="Q31" s="574">
        <f t="shared" si="14"/>
        <v>141990.79999999999</v>
      </c>
      <c r="R31" s="570">
        <v>20</v>
      </c>
      <c r="S31" s="570" t="s">
        <v>413</v>
      </c>
      <c r="T31" s="570">
        <f>1200+60+20+262</f>
        <v>1542</v>
      </c>
    </row>
    <row r="32" spans="1:22" x14ac:dyDescent="0.2">
      <c r="A32" s="605" t="s">
        <v>333</v>
      </c>
      <c r="B32" s="624">
        <f t="shared" si="8"/>
        <v>91535.948999999979</v>
      </c>
      <c r="C32" s="579">
        <f t="shared" si="9"/>
        <v>0.99999999999999967</v>
      </c>
      <c r="D32" s="579">
        <f t="shared" si="10"/>
        <v>64.388252176206791</v>
      </c>
      <c r="E32" s="580" t="e">
        <f t="shared" si="11"/>
        <v>#DIV/0!</v>
      </c>
      <c r="F32" s="617">
        <f t="shared" ref="F32:Q32" si="15">F5*$R$32/100</f>
        <v>7244.7</v>
      </c>
      <c r="G32" s="579">
        <f t="shared" si="15"/>
        <v>7011</v>
      </c>
      <c r="H32" s="579">
        <f t="shared" si="15"/>
        <v>7072.7119999999995</v>
      </c>
      <c r="I32" s="579">
        <f t="shared" si="15"/>
        <v>6933.27</v>
      </c>
      <c r="J32" s="579">
        <f t="shared" si="15"/>
        <v>7839.4969999999994</v>
      </c>
      <c r="K32" s="579">
        <f t="shared" si="15"/>
        <v>8278.7049999999999</v>
      </c>
      <c r="L32" s="579">
        <f t="shared" si="15"/>
        <v>7994.31</v>
      </c>
      <c r="M32" s="579">
        <f t="shared" si="15"/>
        <v>8213.6049999999996</v>
      </c>
      <c r="N32" s="579">
        <f t="shared" si="15"/>
        <v>7863.15</v>
      </c>
      <c r="O32" s="579">
        <f t="shared" si="15"/>
        <v>8036.9049999999997</v>
      </c>
      <c r="P32" s="579">
        <f t="shared" si="15"/>
        <v>7948.5550000000003</v>
      </c>
      <c r="Q32" s="580">
        <f t="shared" si="15"/>
        <v>7099.54</v>
      </c>
      <c r="R32" s="570">
        <v>1</v>
      </c>
      <c r="S32" s="570" t="s">
        <v>413</v>
      </c>
    </row>
    <row r="33" spans="1:20" x14ac:dyDescent="0.2">
      <c r="A33" s="607" t="s">
        <v>334</v>
      </c>
      <c r="B33" s="592">
        <f t="shared" si="8"/>
        <v>22704785.15014134</v>
      </c>
      <c r="C33" s="595">
        <f t="shared" si="9"/>
        <v>248.04227626614042</v>
      </c>
      <c r="D33" s="595">
        <f t="shared" si="10"/>
        <v>15971.008634584605</v>
      </c>
      <c r="E33" s="596" t="e">
        <f t="shared" si="11"/>
        <v>#DIV/0!</v>
      </c>
      <c r="F33" s="619">
        <f>SUM(F17:F32)</f>
        <v>1431016.7769230767</v>
      </c>
      <c r="G33" s="595">
        <f t="shared" ref="G33:Q33" si="16">SUM(G17:G32)</f>
        <v>1366296</v>
      </c>
      <c r="H33" s="595">
        <f t="shared" si="16"/>
        <v>2592480.494291022</v>
      </c>
      <c r="I33" s="595">
        <f t="shared" si="16"/>
        <v>2080547.1157430341</v>
      </c>
      <c r="J33" s="595">
        <f t="shared" si="16"/>
        <v>2274981.0763885449</v>
      </c>
      <c r="K33" s="595">
        <f t="shared" si="16"/>
        <v>2068074.3813544894</v>
      </c>
      <c r="L33" s="595">
        <f t="shared" si="16"/>
        <v>2040494.2938235295</v>
      </c>
      <c r="M33" s="595">
        <f t="shared" si="16"/>
        <v>1899173.5013235295</v>
      </c>
      <c r="N33" s="595">
        <f t="shared" si="16"/>
        <v>1896707.8338235293</v>
      </c>
      <c r="O33" s="595">
        <f t="shared" si="16"/>
        <v>1947539.5513235296</v>
      </c>
      <c r="P33" s="595">
        <f t="shared" si="16"/>
        <v>1631722.5763235295</v>
      </c>
      <c r="Q33" s="596">
        <f t="shared" si="16"/>
        <v>1475751.5488235294</v>
      </c>
    </row>
    <row r="34" spans="1:20" x14ac:dyDescent="0.2">
      <c r="A34" s="601"/>
      <c r="B34" s="625"/>
      <c r="C34" s="582"/>
      <c r="D34" s="582"/>
      <c r="E34" s="583"/>
      <c r="F34" s="613"/>
      <c r="G34" s="582"/>
      <c r="H34" s="582"/>
      <c r="I34" s="582"/>
      <c r="J34" s="582"/>
      <c r="K34" s="582"/>
      <c r="L34" s="582"/>
      <c r="M34" s="582"/>
      <c r="N34" s="582"/>
      <c r="O34" s="582"/>
      <c r="P34" s="582"/>
      <c r="Q34" s="583"/>
    </row>
    <row r="35" spans="1:20" x14ac:dyDescent="0.2">
      <c r="A35" s="604" t="s">
        <v>335</v>
      </c>
      <c r="B35" s="575"/>
      <c r="C35" s="573"/>
      <c r="D35" s="573"/>
      <c r="E35" s="574"/>
      <c r="F35" s="616"/>
      <c r="G35" s="573"/>
      <c r="H35" s="573"/>
      <c r="I35" s="573"/>
      <c r="J35" s="573"/>
      <c r="K35" s="573"/>
      <c r="L35" s="573"/>
      <c r="M35" s="573"/>
      <c r="N35" s="573"/>
      <c r="O35" s="573"/>
      <c r="P35" s="573"/>
      <c r="Q35" s="574"/>
    </row>
    <row r="36" spans="1:20" x14ac:dyDescent="0.2">
      <c r="A36" s="608" t="s">
        <v>336</v>
      </c>
      <c r="B36" s="575">
        <f t="shared" ref="B36:B44" si="17">SUM(F36:Q36)</f>
        <v>1170000</v>
      </c>
      <c r="C36" s="573">
        <f t="shared" ref="C36:C44" si="18">B36/$B$5*100</f>
        <v>12.781863440340798</v>
      </c>
      <c r="D36" s="573">
        <f t="shared" ref="D36:D44" si="19">B36/$D$3</f>
        <v>823.00184647850176</v>
      </c>
      <c r="E36" s="574" t="e">
        <f t="shared" ref="E36:E44" si="20">B36/$E$3</f>
        <v>#DIV/0!</v>
      </c>
      <c r="F36" s="616">
        <v>90000</v>
      </c>
      <c r="G36" s="813">
        <f>IF(G2=$R$36,$F$36*2,$F$36)</f>
        <v>90000</v>
      </c>
      <c r="H36" s="813">
        <f t="shared" ref="H36:Q36" si="21">IF(H2=$R$36,$F$36*2,$F$36)</f>
        <v>90000</v>
      </c>
      <c r="I36" s="813">
        <f t="shared" si="21"/>
        <v>90000</v>
      </c>
      <c r="J36" s="813">
        <f t="shared" si="21"/>
        <v>90000</v>
      </c>
      <c r="K36" s="813">
        <f t="shared" si="21"/>
        <v>90000</v>
      </c>
      <c r="L36" s="813">
        <f t="shared" si="21"/>
        <v>90000</v>
      </c>
      <c r="M36" s="813">
        <f t="shared" si="21"/>
        <v>90000</v>
      </c>
      <c r="N36" s="813">
        <f t="shared" si="21"/>
        <v>90000</v>
      </c>
      <c r="O36" s="813">
        <f t="shared" si="21"/>
        <v>180000</v>
      </c>
      <c r="P36" s="813">
        <f t="shared" si="21"/>
        <v>90000</v>
      </c>
      <c r="Q36" s="814">
        <f t="shared" si="21"/>
        <v>90000</v>
      </c>
      <c r="R36" s="570" t="s">
        <v>7</v>
      </c>
      <c r="S36" s="570">
        <f>650+400+90</f>
        <v>1140</v>
      </c>
      <c r="T36" s="570">
        <f>S36/13</f>
        <v>87.692307692307693</v>
      </c>
    </row>
    <row r="37" spans="1:20" x14ac:dyDescent="0.2">
      <c r="A37" s="608" t="s">
        <v>337</v>
      </c>
      <c r="B37" s="575">
        <f t="shared" si="17"/>
        <v>1950000</v>
      </c>
      <c r="C37" s="573">
        <f t="shared" si="18"/>
        <v>21.303105733901333</v>
      </c>
      <c r="D37" s="573">
        <f t="shared" si="19"/>
        <v>1371.6697441308361</v>
      </c>
      <c r="E37" s="574" t="e">
        <f t="shared" si="20"/>
        <v>#DIV/0!</v>
      </c>
      <c r="F37" s="616">
        <v>150000</v>
      </c>
      <c r="G37" s="813">
        <f>IF(G2=$R$37,$F$37*2,$F$37)</f>
        <v>150000</v>
      </c>
      <c r="H37" s="813">
        <f t="shared" ref="H37:Q37" si="22">IF(H2=$R$37,$F$37*2,$F$37)</f>
        <v>150000</v>
      </c>
      <c r="I37" s="813">
        <f t="shared" si="22"/>
        <v>150000</v>
      </c>
      <c r="J37" s="813">
        <f t="shared" si="22"/>
        <v>150000</v>
      </c>
      <c r="K37" s="813">
        <f t="shared" si="22"/>
        <v>150000</v>
      </c>
      <c r="L37" s="813">
        <f t="shared" si="22"/>
        <v>150000</v>
      </c>
      <c r="M37" s="813">
        <f t="shared" si="22"/>
        <v>150000</v>
      </c>
      <c r="N37" s="813">
        <f t="shared" si="22"/>
        <v>150000</v>
      </c>
      <c r="O37" s="813">
        <f t="shared" si="22"/>
        <v>150000</v>
      </c>
      <c r="P37" s="813">
        <f t="shared" si="22"/>
        <v>300000</v>
      </c>
      <c r="Q37" s="814">
        <f t="shared" si="22"/>
        <v>150000</v>
      </c>
      <c r="R37" s="570" t="s">
        <v>8</v>
      </c>
      <c r="S37" s="570">
        <f>13+1725+90</f>
        <v>1828</v>
      </c>
      <c r="T37" s="570">
        <f>S37/13</f>
        <v>140.61538461538461</v>
      </c>
    </row>
    <row r="38" spans="1:20" x14ac:dyDescent="0.2">
      <c r="A38" s="608" t="s">
        <v>518</v>
      </c>
      <c r="B38" s="575">
        <f t="shared" ref="B38" si="23">SUM(F38:Q38)</f>
        <v>84000</v>
      </c>
      <c r="C38" s="573">
        <f t="shared" ref="C38" si="24">B38/$B$5*100</f>
        <v>0.91767224699882666</v>
      </c>
      <c r="D38" s="573">
        <f t="shared" ref="D38" si="25">B38/$D$3</f>
        <v>59.087312054866793</v>
      </c>
      <c r="E38" s="574" t="e">
        <f t="shared" ref="E38" si="26">B38/$E$3</f>
        <v>#DIV/0!</v>
      </c>
      <c r="F38" s="616">
        <v>7000</v>
      </c>
      <c r="G38" s="813">
        <f>F38</f>
        <v>7000</v>
      </c>
      <c r="H38" s="813">
        <f t="shared" ref="H38:Q38" si="27">G38</f>
        <v>7000</v>
      </c>
      <c r="I38" s="813">
        <f t="shared" ref="I38:J38" si="28">H38</f>
        <v>7000</v>
      </c>
      <c r="J38" s="813">
        <f t="shared" si="28"/>
        <v>7000</v>
      </c>
      <c r="K38" s="813">
        <f t="shared" si="27"/>
        <v>7000</v>
      </c>
      <c r="L38" s="813">
        <f t="shared" si="27"/>
        <v>7000</v>
      </c>
      <c r="M38" s="813">
        <f t="shared" si="27"/>
        <v>7000</v>
      </c>
      <c r="N38" s="813">
        <f t="shared" si="27"/>
        <v>7000</v>
      </c>
      <c r="O38" s="813">
        <f t="shared" si="27"/>
        <v>7000</v>
      </c>
      <c r="P38" s="813">
        <f t="shared" si="27"/>
        <v>7000</v>
      </c>
      <c r="Q38" s="814">
        <f t="shared" si="27"/>
        <v>7000</v>
      </c>
    </row>
    <row r="39" spans="1:20" x14ac:dyDescent="0.2">
      <c r="A39" s="608" t="s">
        <v>338</v>
      </c>
      <c r="B39" s="575">
        <f t="shared" si="17"/>
        <v>1500000</v>
      </c>
      <c r="C39" s="573">
        <f t="shared" si="18"/>
        <v>16.387004410693333</v>
      </c>
      <c r="D39" s="573">
        <f t="shared" si="19"/>
        <v>1055.1305724083356</v>
      </c>
      <c r="E39" s="574" t="e">
        <f t="shared" si="20"/>
        <v>#DIV/0!</v>
      </c>
      <c r="F39" s="616">
        <f>1500000/12</f>
        <v>125000</v>
      </c>
      <c r="G39" s="813">
        <f t="shared" ref="G39:Q39" si="29">F39</f>
        <v>125000</v>
      </c>
      <c r="H39" s="813">
        <f t="shared" si="29"/>
        <v>125000</v>
      </c>
      <c r="I39" s="813">
        <f t="shared" si="29"/>
        <v>125000</v>
      </c>
      <c r="J39" s="813">
        <f t="shared" si="29"/>
        <v>125000</v>
      </c>
      <c r="K39" s="813">
        <f t="shared" si="29"/>
        <v>125000</v>
      </c>
      <c r="L39" s="813">
        <f t="shared" si="29"/>
        <v>125000</v>
      </c>
      <c r="M39" s="813">
        <f t="shared" si="29"/>
        <v>125000</v>
      </c>
      <c r="N39" s="813">
        <f t="shared" si="29"/>
        <v>125000</v>
      </c>
      <c r="O39" s="813">
        <f t="shared" si="29"/>
        <v>125000</v>
      </c>
      <c r="P39" s="813">
        <f t="shared" si="29"/>
        <v>125000</v>
      </c>
      <c r="Q39" s="814">
        <f t="shared" si="29"/>
        <v>125000</v>
      </c>
    </row>
    <row r="40" spans="1:20" x14ac:dyDescent="0.2">
      <c r="A40" s="608" t="s">
        <v>339</v>
      </c>
      <c r="B40" s="575">
        <f t="shared" si="17"/>
        <v>984000</v>
      </c>
      <c r="C40" s="573">
        <f t="shared" si="18"/>
        <v>10.749874893414827</v>
      </c>
      <c r="D40" s="573">
        <f t="shared" si="19"/>
        <v>692.16565549986808</v>
      </c>
      <c r="E40" s="574" t="e">
        <f t="shared" si="20"/>
        <v>#DIV/0!</v>
      </c>
      <c r="F40" s="616">
        <v>82000</v>
      </c>
      <c r="G40" s="813">
        <f t="shared" ref="G40:Q40" si="30">F40</f>
        <v>82000</v>
      </c>
      <c r="H40" s="813">
        <f t="shared" si="30"/>
        <v>82000</v>
      </c>
      <c r="I40" s="813">
        <f t="shared" si="30"/>
        <v>82000</v>
      </c>
      <c r="J40" s="813">
        <f t="shared" si="30"/>
        <v>82000</v>
      </c>
      <c r="K40" s="813">
        <f t="shared" si="30"/>
        <v>82000</v>
      </c>
      <c r="L40" s="813">
        <f t="shared" si="30"/>
        <v>82000</v>
      </c>
      <c r="M40" s="813">
        <f t="shared" si="30"/>
        <v>82000</v>
      </c>
      <c r="N40" s="813">
        <f t="shared" si="30"/>
        <v>82000</v>
      </c>
      <c r="O40" s="813">
        <f t="shared" si="30"/>
        <v>82000</v>
      </c>
      <c r="P40" s="813">
        <f t="shared" si="30"/>
        <v>82000</v>
      </c>
      <c r="Q40" s="814">
        <f t="shared" si="30"/>
        <v>82000</v>
      </c>
    </row>
    <row r="41" spans="1:20" x14ac:dyDescent="0.2">
      <c r="A41" s="608" t="s">
        <v>340</v>
      </c>
      <c r="B41" s="575">
        <f t="shared" si="17"/>
        <v>1200000</v>
      </c>
      <c r="C41" s="573">
        <f t="shared" si="18"/>
        <v>13.109603528554667</v>
      </c>
      <c r="D41" s="573">
        <f t="shared" si="19"/>
        <v>844.10445792666837</v>
      </c>
      <c r="E41" s="574" t="e">
        <f t="shared" si="20"/>
        <v>#DIV/0!</v>
      </c>
      <c r="F41" s="616">
        <v>100000</v>
      </c>
      <c r="G41" s="813">
        <f t="shared" ref="G41:Q41" si="31">F41</f>
        <v>100000</v>
      </c>
      <c r="H41" s="813">
        <f t="shared" si="31"/>
        <v>100000</v>
      </c>
      <c r="I41" s="813">
        <f t="shared" si="31"/>
        <v>100000</v>
      </c>
      <c r="J41" s="813">
        <f t="shared" si="31"/>
        <v>100000</v>
      </c>
      <c r="K41" s="813">
        <f t="shared" si="31"/>
        <v>100000</v>
      </c>
      <c r="L41" s="813">
        <f t="shared" si="31"/>
        <v>100000</v>
      </c>
      <c r="M41" s="813">
        <f t="shared" si="31"/>
        <v>100000</v>
      </c>
      <c r="N41" s="813">
        <f t="shared" si="31"/>
        <v>100000</v>
      </c>
      <c r="O41" s="813">
        <f t="shared" si="31"/>
        <v>100000</v>
      </c>
      <c r="P41" s="813">
        <f t="shared" si="31"/>
        <v>100000</v>
      </c>
      <c r="Q41" s="814">
        <f t="shared" si="31"/>
        <v>100000</v>
      </c>
    </row>
    <row r="42" spans="1:20" x14ac:dyDescent="0.2">
      <c r="A42" s="608" t="s">
        <v>341</v>
      </c>
      <c r="B42" s="575">
        <f t="shared" si="17"/>
        <v>384000</v>
      </c>
      <c r="C42" s="573">
        <f t="shared" si="18"/>
        <v>4.1950731291374925</v>
      </c>
      <c r="D42" s="573">
        <f t="shared" si="19"/>
        <v>270.11342653653389</v>
      </c>
      <c r="E42" s="574" t="e">
        <f t="shared" si="20"/>
        <v>#DIV/0!</v>
      </c>
      <c r="F42" s="616">
        <v>32000</v>
      </c>
      <c r="G42" s="813">
        <f t="shared" ref="G42:Q42" si="32">F42</f>
        <v>32000</v>
      </c>
      <c r="H42" s="813">
        <f t="shared" si="32"/>
        <v>32000</v>
      </c>
      <c r="I42" s="813">
        <f t="shared" si="32"/>
        <v>32000</v>
      </c>
      <c r="J42" s="813">
        <f t="shared" si="32"/>
        <v>32000</v>
      </c>
      <c r="K42" s="813">
        <f t="shared" si="32"/>
        <v>32000</v>
      </c>
      <c r="L42" s="813">
        <f t="shared" si="32"/>
        <v>32000</v>
      </c>
      <c r="M42" s="813">
        <f t="shared" si="32"/>
        <v>32000</v>
      </c>
      <c r="N42" s="813">
        <f t="shared" si="32"/>
        <v>32000</v>
      </c>
      <c r="O42" s="813">
        <f t="shared" si="32"/>
        <v>32000</v>
      </c>
      <c r="P42" s="813">
        <f t="shared" si="32"/>
        <v>32000</v>
      </c>
      <c r="Q42" s="814">
        <f t="shared" si="32"/>
        <v>32000</v>
      </c>
    </row>
    <row r="43" spans="1:20" x14ac:dyDescent="0.2">
      <c r="A43" s="609" t="s">
        <v>342</v>
      </c>
      <c r="B43" s="624">
        <f t="shared" si="17"/>
        <v>300000</v>
      </c>
      <c r="C43" s="579">
        <f t="shared" si="18"/>
        <v>3.2774008821386666</v>
      </c>
      <c r="D43" s="579">
        <f t="shared" si="19"/>
        <v>211.02611448166709</v>
      </c>
      <c r="E43" s="580" t="e">
        <f t="shared" si="20"/>
        <v>#DIV/0!</v>
      </c>
      <c r="F43" s="617">
        <v>25000</v>
      </c>
      <c r="G43" s="816">
        <f t="shared" ref="G43:Q43" si="33">F43</f>
        <v>25000</v>
      </c>
      <c r="H43" s="816">
        <f t="shared" si="33"/>
        <v>25000</v>
      </c>
      <c r="I43" s="816">
        <f t="shared" si="33"/>
        <v>25000</v>
      </c>
      <c r="J43" s="816">
        <f t="shared" si="33"/>
        <v>25000</v>
      </c>
      <c r="K43" s="816">
        <f t="shared" si="33"/>
        <v>25000</v>
      </c>
      <c r="L43" s="816">
        <f t="shared" si="33"/>
        <v>25000</v>
      </c>
      <c r="M43" s="816">
        <f t="shared" si="33"/>
        <v>25000</v>
      </c>
      <c r="N43" s="816">
        <f t="shared" si="33"/>
        <v>25000</v>
      </c>
      <c r="O43" s="816">
        <f t="shared" si="33"/>
        <v>25000</v>
      </c>
      <c r="P43" s="816">
        <f t="shared" si="33"/>
        <v>25000</v>
      </c>
      <c r="Q43" s="817">
        <f t="shared" si="33"/>
        <v>25000</v>
      </c>
    </row>
    <row r="44" spans="1:20" x14ac:dyDescent="0.2">
      <c r="A44" s="610" t="s">
        <v>343</v>
      </c>
      <c r="B44" s="592">
        <f t="shared" si="17"/>
        <v>7572000</v>
      </c>
      <c r="C44" s="595">
        <f t="shared" si="18"/>
        <v>82.721598265179935</v>
      </c>
      <c r="D44" s="595">
        <f t="shared" si="19"/>
        <v>5326.2991295172778</v>
      </c>
      <c r="E44" s="596" t="e">
        <f t="shared" si="20"/>
        <v>#DIV/0!</v>
      </c>
      <c r="F44" s="619">
        <f>SUM(F36:F43)</f>
        <v>611000</v>
      </c>
      <c r="G44" s="595">
        <f t="shared" ref="G44:Q44" si="34">SUM(G36:G43)</f>
        <v>611000</v>
      </c>
      <c r="H44" s="595">
        <f t="shared" si="34"/>
        <v>611000</v>
      </c>
      <c r="I44" s="595">
        <f t="shared" si="34"/>
        <v>611000</v>
      </c>
      <c r="J44" s="595">
        <f t="shared" si="34"/>
        <v>611000</v>
      </c>
      <c r="K44" s="595">
        <f t="shared" si="34"/>
        <v>611000</v>
      </c>
      <c r="L44" s="595">
        <f t="shared" si="34"/>
        <v>611000</v>
      </c>
      <c r="M44" s="595">
        <f t="shared" si="34"/>
        <v>611000</v>
      </c>
      <c r="N44" s="595">
        <f t="shared" si="34"/>
        <v>611000</v>
      </c>
      <c r="O44" s="595">
        <f t="shared" si="34"/>
        <v>701000</v>
      </c>
      <c r="P44" s="595">
        <f t="shared" si="34"/>
        <v>761000</v>
      </c>
      <c r="Q44" s="596">
        <f t="shared" si="34"/>
        <v>611000</v>
      </c>
    </row>
    <row r="45" spans="1:20" x14ac:dyDescent="0.2">
      <c r="A45" s="601"/>
      <c r="B45" s="625"/>
      <c r="C45" s="582">
        <f>C33+C44</f>
        <v>330.76387453132037</v>
      </c>
      <c r="D45" s="582"/>
      <c r="E45" s="583"/>
      <c r="F45" s="613"/>
      <c r="G45" s="582"/>
      <c r="H45" s="582"/>
      <c r="I45" s="582"/>
      <c r="J45" s="582"/>
      <c r="K45" s="582"/>
      <c r="L45" s="582"/>
      <c r="M45" s="582"/>
      <c r="N45" s="582"/>
      <c r="O45" s="582"/>
      <c r="P45" s="582"/>
      <c r="Q45" s="583"/>
    </row>
    <row r="46" spans="1:20" x14ac:dyDescent="0.2">
      <c r="A46" s="611" t="s">
        <v>344</v>
      </c>
      <c r="B46" s="597">
        <f>SUM(F46:Q46)</f>
        <v>11772297.829858657</v>
      </c>
      <c r="C46" s="598">
        <f>B46/$B$5*100</f>
        <v>128.60846430792623</v>
      </c>
      <c r="D46" s="598">
        <f>B46/$D$3</f>
        <v>8280.8742318534478</v>
      </c>
      <c r="E46" s="599" t="e">
        <f>B46/$E$3</f>
        <v>#DIV/0!</v>
      </c>
      <c r="F46" s="620">
        <f>F14-F33-F44</f>
        <v>1290545.2230769228</v>
      </c>
      <c r="G46" s="598">
        <f t="shared" ref="G46:Q46" si="35">G14-G33-G44</f>
        <v>1247763.9999999995</v>
      </c>
      <c r="H46" s="598">
        <f t="shared" si="35"/>
        <v>195694.14570897818</v>
      </c>
      <c r="I46" s="598">
        <f t="shared" si="35"/>
        <v>642089.78425696585</v>
      </c>
      <c r="J46" s="598">
        <f t="shared" si="35"/>
        <v>873582.51361145498</v>
      </c>
      <c r="K46" s="598">
        <f t="shared" si="35"/>
        <v>1121342.8686455106</v>
      </c>
      <c r="L46" s="598">
        <f t="shared" si="35"/>
        <v>941002.10617647087</v>
      </c>
      <c r="M46" s="598">
        <f t="shared" si="35"/>
        <v>1178812.6986764707</v>
      </c>
      <c r="N46" s="598">
        <f t="shared" si="35"/>
        <v>1027078.1661764712</v>
      </c>
      <c r="O46" s="598">
        <f t="shared" si="35"/>
        <v>962698.64867647062</v>
      </c>
      <c r="P46" s="598">
        <f t="shared" si="35"/>
        <v>1179641.6236764707</v>
      </c>
      <c r="Q46" s="599">
        <f t="shared" si="35"/>
        <v>1112046.0511764707</v>
      </c>
    </row>
    <row r="47" spans="1:20" x14ac:dyDescent="0.2">
      <c r="A47" s="603"/>
      <c r="B47" s="575"/>
      <c r="C47" s="573"/>
      <c r="D47" s="573"/>
      <c r="E47" s="574"/>
      <c r="F47" s="616"/>
      <c r="G47" s="573"/>
      <c r="H47" s="573"/>
      <c r="I47" s="573"/>
      <c r="J47" s="573"/>
      <c r="K47" s="573"/>
      <c r="L47" s="573"/>
      <c r="M47" s="573"/>
      <c r="N47" s="573"/>
      <c r="O47" s="573"/>
      <c r="P47" s="573"/>
      <c r="Q47" s="574"/>
    </row>
    <row r="48" spans="1:20" x14ac:dyDescent="0.2">
      <c r="A48" s="604" t="s">
        <v>345</v>
      </c>
      <c r="B48" s="575"/>
      <c r="C48" s="573"/>
      <c r="D48" s="573"/>
      <c r="E48" s="574"/>
      <c r="F48" s="616"/>
      <c r="G48" s="573"/>
      <c r="H48" s="573"/>
      <c r="I48" s="573"/>
      <c r="J48" s="573"/>
      <c r="K48" s="573"/>
      <c r="L48" s="573"/>
      <c r="M48" s="573"/>
      <c r="N48" s="573"/>
      <c r="O48" s="573"/>
      <c r="P48" s="573"/>
      <c r="Q48" s="574"/>
    </row>
    <row r="49" spans="1:17" x14ac:dyDescent="0.2">
      <c r="A49" s="603" t="s">
        <v>579</v>
      </c>
      <c r="B49" s="575">
        <f t="shared" ref="B49:B60" si="36">SUM(F49:Q49)</f>
        <v>330000</v>
      </c>
      <c r="C49" s="573">
        <f t="shared" ref="C49:C60" si="37">B49/$B$5*100</f>
        <v>3.6051409703525334</v>
      </c>
      <c r="D49" s="573">
        <f t="shared" ref="D49:D60" si="38">B49/$D$3</f>
        <v>232.12872592983382</v>
      </c>
      <c r="E49" s="574" t="e">
        <f t="shared" ref="E49:E60" si="39">B49/$E$3</f>
        <v>#DIV/0!</v>
      </c>
      <c r="F49" s="616">
        <f>330000/12</f>
        <v>27500</v>
      </c>
      <c r="G49" s="573">
        <f>F49</f>
        <v>27500</v>
      </c>
      <c r="H49" s="573">
        <f t="shared" ref="H49:Q49" si="40">G49</f>
        <v>27500</v>
      </c>
      <c r="I49" s="573">
        <f t="shared" si="40"/>
        <v>27500</v>
      </c>
      <c r="J49" s="573">
        <f t="shared" si="40"/>
        <v>27500</v>
      </c>
      <c r="K49" s="573">
        <f t="shared" si="40"/>
        <v>27500</v>
      </c>
      <c r="L49" s="573">
        <f t="shared" si="40"/>
        <v>27500</v>
      </c>
      <c r="M49" s="573">
        <f t="shared" si="40"/>
        <v>27500</v>
      </c>
      <c r="N49" s="573">
        <f t="shared" si="40"/>
        <v>27500</v>
      </c>
      <c r="O49" s="573">
        <f t="shared" si="40"/>
        <v>27500</v>
      </c>
      <c r="P49" s="573">
        <f t="shared" si="40"/>
        <v>27500</v>
      </c>
      <c r="Q49" s="574">
        <f t="shared" si="40"/>
        <v>27500</v>
      </c>
    </row>
    <row r="50" spans="1:17" s="821" customFormat="1" x14ac:dyDescent="0.2">
      <c r="A50" s="603" t="s">
        <v>580</v>
      </c>
      <c r="B50" s="624">
        <f t="shared" si="36"/>
        <v>1850000.0000000002</v>
      </c>
      <c r="C50" s="579">
        <f t="shared" si="37"/>
        <v>20.210638773188446</v>
      </c>
      <c r="D50" s="579">
        <f t="shared" si="38"/>
        <v>1301.3277059702807</v>
      </c>
      <c r="E50" s="580" t="e">
        <f t="shared" si="39"/>
        <v>#DIV/0!</v>
      </c>
      <c r="F50" s="617">
        <f>1850000/12</f>
        <v>154166.66666666666</v>
      </c>
      <c r="G50" s="579">
        <f t="shared" ref="G50:Q50" si="41">F50</f>
        <v>154166.66666666666</v>
      </c>
      <c r="H50" s="579">
        <f t="shared" si="41"/>
        <v>154166.66666666666</v>
      </c>
      <c r="I50" s="579">
        <f t="shared" si="41"/>
        <v>154166.66666666666</v>
      </c>
      <c r="J50" s="579">
        <f t="shared" si="41"/>
        <v>154166.66666666666</v>
      </c>
      <c r="K50" s="579">
        <f t="shared" si="41"/>
        <v>154166.66666666666</v>
      </c>
      <c r="L50" s="579">
        <f t="shared" si="41"/>
        <v>154166.66666666666</v>
      </c>
      <c r="M50" s="579">
        <f t="shared" si="41"/>
        <v>154166.66666666666</v>
      </c>
      <c r="N50" s="579">
        <f t="shared" si="41"/>
        <v>154166.66666666666</v>
      </c>
      <c r="O50" s="579">
        <f t="shared" si="41"/>
        <v>154166.66666666666</v>
      </c>
      <c r="P50" s="579">
        <f t="shared" si="41"/>
        <v>154166.66666666666</v>
      </c>
      <c r="Q50" s="580">
        <f t="shared" si="41"/>
        <v>154166.66666666666</v>
      </c>
    </row>
    <row r="51" spans="1:17" s="822" customFormat="1" x14ac:dyDescent="0.2">
      <c r="A51" s="603" t="s">
        <v>573</v>
      </c>
      <c r="B51" s="575">
        <f t="shared" ref="B51" si="42">SUM(F51:Q51)</f>
        <v>1395000</v>
      </c>
      <c r="C51" s="573">
        <f t="shared" ref="C51:C59" si="43">B51/$B$5*100</f>
        <v>15.239914101944798</v>
      </c>
      <c r="D51" s="573">
        <f t="shared" ref="D51:D59" si="44">B51/$D$3</f>
        <v>981.2714323397521</v>
      </c>
      <c r="E51" s="574" t="e">
        <f t="shared" ref="E51:E59" si="45">B51/$E$3</f>
        <v>#DIV/0!</v>
      </c>
      <c r="F51" s="616">
        <f>1395000/12</f>
        <v>116250</v>
      </c>
      <c r="G51" s="573">
        <f t="shared" ref="G51:Q51" si="46">F51</f>
        <v>116250</v>
      </c>
      <c r="H51" s="573">
        <f t="shared" si="46"/>
        <v>116250</v>
      </c>
      <c r="I51" s="573">
        <f t="shared" si="46"/>
        <v>116250</v>
      </c>
      <c r="J51" s="573">
        <f t="shared" si="46"/>
        <v>116250</v>
      </c>
      <c r="K51" s="573">
        <f t="shared" si="46"/>
        <v>116250</v>
      </c>
      <c r="L51" s="573">
        <f t="shared" si="46"/>
        <v>116250</v>
      </c>
      <c r="M51" s="573">
        <f t="shared" si="46"/>
        <v>116250</v>
      </c>
      <c r="N51" s="573">
        <f t="shared" si="46"/>
        <v>116250</v>
      </c>
      <c r="O51" s="573">
        <f t="shared" si="46"/>
        <v>116250</v>
      </c>
      <c r="P51" s="573">
        <f t="shared" si="46"/>
        <v>116250</v>
      </c>
      <c r="Q51" s="574">
        <f t="shared" si="46"/>
        <v>116250</v>
      </c>
    </row>
    <row r="52" spans="1:17" s="822" customFormat="1" x14ac:dyDescent="0.2">
      <c r="A52" s="603" t="s">
        <v>581</v>
      </c>
      <c r="B52" s="575">
        <f t="shared" ref="B52" si="47">SUM(F52:Q52)</f>
        <v>108000</v>
      </c>
      <c r="C52" s="573">
        <f t="shared" si="43"/>
        <v>1.1798643175699199</v>
      </c>
      <c r="D52" s="573">
        <f t="shared" si="44"/>
        <v>75.969401213400161</v>
      </c>
      <c r="E52" s="574" t="e">
        <f t="shared" si="45"/>
        <v>#DIV/0!</v>
      </c>
      <c r="F52" s="616">
        <f>108000/12</f>
        <v>9000</v>
      </c>
      <c r="G52" s="573">
        <f t="shared" ref="G52:Q52" si="48">F52</f>
        <v>9000</v>
      </c>
      <c r="H52" s="573">
        <f t="shared" si="48"/>
        <v>9000</v>
      </c>
      <c r="I52" s="573">
        <f t="shared" si="48"/>
        <v>9000</v>
      </c>
      <c r="J52" s="573">
        <f t="shared" si="48"/>
        <v>9000</v>
      </c>
      <c r="K52" s="573">
        <f t="shared" si="48"/>
        <v>9000</v>
      </c>
      <c r="L52" s="573">
        <f t="shared" si="48"/>
        <v>9000</v>
      </c>
      <c r="M52" s="573">
        <f t="shared" si="48"/>
        <v>9000</v>
      </c>
      <c r="N52" s="573">
        <f t="shared" si="48"/>
        <v>9000</v>
      </c>
      <c r="O52" s="573">
        <f t="shared" si="48"/>
        <v>9000</v>
      </c>
      <c r="P52" s="573">
        <f t="shared" si="48"/>
        <v>9000</v>
      </c>
      <c r="Q52" s="574">
        <f t="shared" si="48"/>
        <v>9000</v>
      </c>
    </row>
    <row r="53" spans="1:17" s="822" customFormat="1" x14ac:dyDescent="0.2">
      <c r="A53" s="603"/>
      <c r="B53" s="575"/>
      <c r="C53" s="573"/>
      <c r="D53" s="573"/>
      <c r="E53" s="574"/>
      <c r="F53" s="616">
        <v>0</v>
      </c>
      <c r="G53" s="573">
        <f t="shared" ref="G53:Q53" si="49">F53</f>
        <v>0</v>
      </c>
      <c r="H53" s="573">
        <f t="shared" si="49"/>
        <v>0</v>
      </c>
      <c r="I53" s="573">
        <f t="shared" si="49"/>
        <v>0</v>
      </c>
      <c r="J53" s="573">
        <f t="shared" si="49"/>
        <v>0</v>
      </c>
      <c r="K53" s="573">
        <f t="shared" si="49"/>
        <v>0</v>
      </c>
      <c r="L53" s="573">
        <f t="shared" si="49"/>
        <v>0</v>
      </c>
      <c r="M53" s="573">
        <f t="shared" si="49"/>
        <v>0</v>
      </c>
      <c r="N53" s="573">
        <f t="shared" si="49"/>
        <v>0</v>
      </c>
      <c r="O53" s="573">
        <f t="shared" si="49"/>
        <v>0</v>
      </c>
      <c r="P53" s="573">
        <f t="shared" si="49"/>
        <v>0</v>
      </c>
      <c r="Q53" s="574">
        <f t="shared" si="49"/>
        <v>0</v>
      </c>
    </row>
    <row r="54" spans="1:17" s="822" customFormat="1" x14ac:dyDescent="0.2">
      <c r="A54" s="603" t="s">
        <v>582</v>
      </c>
      <c r="B54" s="575">
        <f t="shared" ref="B54" si="50">SUM(F54:Q54)</f>
        <v>644400</v>
      </c>
      <c r="C54" s="573">
        <f t="shared" ref="C54" si="51">B54/$B$5*100</f>
        <v>7.039857094833855</v>
      </c>
      <c r="D54" s="573">
        <f t="shared" ref="D54" si="52">B54/$D$3</f>
        <v>453.28409390662097</v>
      </c>
      <c r="E54" s="574" t="e">
        <f t="shared" ref="E54" si="53">B54/$E$3</f>
        <v>#DIV/0!</v>
      </c>
      <c r="F54" s="616">
        <f>11200+21400+15800+5300</f>
        <v>53700</v>
      </c>
      <c r="G54" s="573">
        <f t="shared" ref="G54:Q54" si="54">F54</f>
        <v>53700</v>
      </c>
      <c r="H54" s="573">
        <f t="shared" si="54"/>
        <v>53700</v>
      </c>
      <c r="I54" s="573">
        <f t="shared" si="54"/>
        <v>53700</v>
      </c>
      <c r="J54" s="573">
        <f t="shared" si="54"/>
        <v>53700</v>
      </c>
      <c r="K54" s="573">
        <f t="shared" si="54"/>
        <v>53700</v>
      </c>
      <c r="L54" s="573">
        <f t="shared" si="54"/>
        <v>53700</v>
      </c>
      <c r="M54" s="573">
        <f t="shared" si="54"/>
        <v>53700</v>
      </c>
      <c r="N54" s="573">
        <f t="shared" si="54"/>
        <v>53700</v>
      </c>
      <c r="O54" s="573">
        <f t="shared" si="54"/>
        <v>53700</v>
      </c>
      <c r="P54" s="573">
        <f t="shared" si="54"/>
        <v>53700</v>
      </c>
      <c r="Q54" s="574">
        <f t="shared" si="54"/>
        <v>53700</v>
      </c>
    </row>
    <row r="55" spans="1:17" s="822" customFormat="1" x14ac:dyDescent="0.2">
      <c r="A55" s="603" t="s">
        <v>583</v>
      </c>
      <c r="B55" s="575">
        <f t="shared" ref="B55:B59" si="55">SUM(F55:Q55)</f>
        <v>3420000</v>
      </c>
      <c r="C55" s="573">
        <f t="shared" si="43"/>
        <v>37.362370056380797</v>
      </c>
      <c r="D55" s="573">
        <f t="shared" si="44"/>
        <v>2405.697705091005</v>
      </c>
      <c r="E55" s="574" t="e">
        <f t="shared" si="45"/>
        <v>#DIV/0!</v>
      </c>
      <c r="F55" s="616">
        <v>285000</v>
      </c>
      <c r="G55" s="573">
        <f t="shared" ref="G55:Q55" si="56">F55</f>
        <v>285000</v>
      </c>
      <c r="H55" s="573">
        <f t="shared" si="56"/>
        <v>285000</v>
      </c>
      <c r="I55" s="573">
        <f t="shared" si="56"/>
        <v>285000</v>
      </c>
      <c r="J55" s="573">
        <f t="shared" si="56"/>
        <v>285000</v>
      </c>
      <c r="K55" s="573">
        <f t="shared" si="56"/>
        <v>285000</v>
      </c>
      <c r="L55" s="573">
        <f t="shared" si="56"/>
        <v>285000</v>
      </c>
      <c r="M55" s="573">
        <f t="shared" si="56"/>
        <v>285000</v>
      </c>
      <c r="N55" s="573">
        <f t="shared" si="56"/>
        <v>285000</v>
      </c>
      <c r="O55" s="573">
        <f t="shared" si="56"/>
        <v>285000</v>
      </c>
      <c r="P55" s="573">
        <f t="shared" si="56"/>
        <v>285000</v>
      </c>
      <c r="Q55" s="574">
        <f t="shared" si="56"/>
        <v>285000</v>
      </c>
    </row>
    <row r="56" spans="1:17" s="822" customFormat="1" x14ac:dyDescent="0.2">
      <c r="A56" s="823"/>
      <c r="B56" s="625">
        <f t="shared" si="55"/>
        <v>0</v>
      </c>
      <c r="C56" s="582">
        <f t="shared" si="43"/>
        <v>0</v>
      </c>
      <c r="D56" s="582">
        <f t="shared" si="44"/>
        <v>0</v>
      </c>
      <c r="E56" s="583" t="e">
        <f t="shared" si="45"/>
        <v>#DIV/0!</v>
      </c>
      <c r="F56" s="613"/>
      <c r="G56" s="582"/>
      <c r="H56" s="582"/>
      <c r="I56" s="582"/>
      <c r="J56" s="582"/>
      <c r="K56" s="582"/>
      <c r="L56" s="582"/>
      <c r="M56" s="582"/>
      <c r="N56" s="582"/>
      <c r="O56" s="582"/>
      <c r="P56" s="582"/>
      <c r="Q56" s="583"/>
    </row>
    <row r="57" spans="1:17" s="822" customFormat="1" x14ac:dyDescent="0.2">
      <c r="A57" s="603"/>
      <c r="B57" s="575">
        <f t="shared" si="55"/>
        <v>0</v>
      </c>
      <c r="C57" s="573">
        <f t="shared" si="43"/>
        <v>0</v>
      </c>
      <c r="D57" s="573">
        <f t="shared" si="44"/>
        <v>0</v>
      </c>
      <c r="E57" s="574" t="e">
        <f t="shared" si="45"/>
        <v>#DIV/0!</v>
      </c>
      <c r="F57" s="616"/>
      <c r="G57" s="573"/>
      <c r="H57" s="573"/>
      <c r="I57" s="573"/>
      <c r="J57" s="573"/>
      <c r="K57" s="573"/>
      <c r="L57" s="573"/>
      <c r="M57" s="573"/>
      <c r="N57" s="573"/>
      <c r="O57" s="573"/>
      <c r="P57" s="573"/>
      <c r="Q57" s="574"/>
    </row>
    <row r="58" spans="1:17" s="822" customFormat="1" x14ac:dyDescent="0.2">
      <c r="A58" s="603"/>
      <c r="B58" s="575">
        <f t="shared" ref="B58" si="57">SUM(F58:Q58)</f>
        <v>0</v>
      </c>
      <c r="C58" s="573">
        <f t="shared" ref="C58" si="58">B58/$B$5*100</f>
        <v>0</v>
      </c>
      <c r="D58" s="573">
        <f t="shared" ref="D58" si="59">B58/$D$3</f>
        <v>0</v>
      </c>
      <c r="E58" s="574" t="e">
        <f t="shared" ref="E58" si="60">B58/$E$3</f>
        <v>#DIV/0!</v>
      </c>
      <c r="F58" s="617"/>
      <c r="G58" s="579"/>
      <c r="H58" s="579"/>
      <c r="I58" s="579"/>
      <c r="J58" s="579"/>
      <c r="K58" s="579"/>
      <c r="L58" s="579"/>
      <c r="M58" s="579"/>
      <c r="N58" s="579"/>
      <c r="O58" s="579"/>
      <c r="P58" s="579"/>
      <c r="Q58" s="580"/>
    </row>
    <row r="59" spans="1:17" s="822" customFormat="1" x14ac:dyDescent="0.2">
      <c r="A59" s="603"/>
      <c r="B59" s="624">
        <f t="shared" si="55"/>
        <v>0</v>
      </c>
      <c r="C59" s="579">
        <f t="shared" si="43"/>
        <v>0</v>
      </c>
      <c r="D59" s="579">
        <f t="shared" si="44"/>
        <v>0</v>
      </c>
      <c r="E59" s="580" t="e">
        <f t="shared" si="45"/>
        <v>#DIV/0!</v>
      </c>
      <c r="F59" s="617"/>
      <c r="G59" s="579"/>
      <c r="H59" s="579"/>
      <c r="I59" s="579"/>
      <c r="J59" s="579"/>
      <c r="K59" s="579"/>
      <c r="L59" s="579"/>
      <c r="M59" s="579"/>
      <c r="N59" s="579"/>
      <c r="O59" s="579"/>
      <c r="P59" s="579"/>
      <c r="Q59" s="580"/>
    </row>
    <row r="60" spans="1:17" x14ac:dyDescent="0.2">
      <c r="A60" s="607" t="s">
        <v>346</v>
      </c>
      <c r="B60" s="592">
        <f t="shared" si="36"/>
        <v>7747400.0000000009</v>
      </c>
      <c r="C60" s="595">
        <f t="shared" si="37"/>
        <v>84.63778531427036</v>
      </c>
      <c r="D60" s="595">
        <f t="shared" si="38"/>
        <v>5449.6790644508928</v>
      </c>
      <c r="E60" s="596" t="e">
        <f t="shared" si="39"/>
        <v>#DIV/0!</v>
      </c>
      <c r="F60" s="619">
        <f>SUM(F49:F59)</f>
        <v>645616.66666666663</v>
      </c>
      <c r="G60" s="595">
        <f t="shared" ref="G60:Q60" si="61">SUM(G49:G59)</f>
        <v>645616.66666666663</v>
      </c>
      <c r="H60" s="595">
        <f t="shared" si="61"/>
        <v>645616.66666666663</v>
      </c>
      <c r="I60" s="595">
        <f t="shared" si="61"/>
        <v>645616.66666666663</v>
      </c>
      <c r="J60" s="595">
        <f t="shared" si="61"/>
        <v>645616.66666666663</v>
      </c>
      <c r="K60" s="595">
        <f t="shared" si="61"/>
        <v>645616.66666666663</v>
      </c>
      <c r="L60" s="595">
        <f t="shared" si="61"/>
        <v>645616.66666666663</v>
      </c>
      <c r="M60" s="595">
        <f t="shared" si="61"/>
        <v>645616.66666666663</v>
      </c>
      <c r="N60" s="595">
        <f t="shared" si="61"/>
        <v>645616.66666666663</v>
      </c>
      <c r="O60" s="595">
        <f t="shared" si="61"/>
        <v>645616.66666666663</v>
      </c>
      <c r="P60" s="595">
        <f t="shared" si="61"/>
        <v>645616.66666666663</v>
      </c>
      <c r="Q60" s="596">
        <f t="shared" si="61"/>
        <v>645616.66666666663</v>
      </c>
    </row>
    <row r="61" spans="1:17" x14ac:dyDescent="0.2">
      <c r="A61" s="601"/>
      <c r="B61" s="625"/>
      <c r="C61" s="582"/>
      <c r="D61" s="582"/>
      <c r="E61" s="583"/>
      <c r="F61" s="613"/>
      <c r="G61" s="582"/>
      <c r="H61" s="582"/>
      <c r="I61" s="582"/>
      <c r="J61" s="582"/>
      <c r="K61" s="582"/>
      <c r="L61" s="582"/>
      <c r="M61" s="582"/>
      <c r="N61" s="582"/>
      <c r="O61" s="582"/>
      <c r="P61" s="582"/>
      <c r="Q61" s="583"/>
    </row>
    <row r="62" spans="1:17" x14ac:dyDescent="0.2">
      <c r="A62" s="611" t="s">
        <v>347</v>
      </c>
      <c r="B62" s="597">
        <f>SUM(F62:Q62)</f>
        <v>4024897.829858657</v>
      </c>
      <c r="C62" s="598">
        <f>B62/$B$5*100</f>
        <v>43.970678993655888</v>
      </c>
      <c r="D62" s="598">
        <f>B62/$D$3</f>
        <v>2831.1951674025549</v>
      </c>
      <c r="E62" s="599" t="e">
        <f>B62/$E$3</f>
        <v>#DIV/0!</v>
      </c>
      <c r="F62" s="620">
        <f t="shared" ref="F62:Q62" si="62">F46-F60</f>
        <v>644928.55641025619</v>
      </c>
      <c r="G62" s="598">
        <f t="shared" si="62"/>
        <v>602147.33333333291</v>
      </c>
      <c r="H62" s="598">
        <f t="shared" si="62"/>
        <v>-449922.52095768845</v>
      </c>
      <c r="I62" s="598">
        <f t="shared" si="62"/>
        <v>-3526.8824097007746</v>
      </c>
      <c r="J62" s="598">
        <f t="shared" si="62"/>
        <v>227965.84694478835</v>
      </c>
      <c r="K62" s="598">
        <f t="shared" si="62"/>
        <v>475726.20197884401</v>
      </c>
      <c r="L62" s="598">
        <f t="shared" si="62"/>
        <v>295385.43950980424</v>
      </c>
      <c r="M62" s="598">
        <f t="shared" si="62"/>
        <v>533196.03200980404</v>
      </c>
      <c r="N62" s="598">
        <f t="shared" si="62"/>
        <v>381461.49950980453</v>
      </c>
      <c r="O62" s="598">
        <f t="shared" si="62"/>
        <v>317081.98200980399</v>
      </c>
      <c r="P62" s="598">
        <f t="shared" si="62"/>
        <v>534024.95700980409</v>
      </c>
      <c r="Q62" s="599">
        <f t="shared" si="62"/>
        <v>466429.38450980408</v>
      </c>
    </row>
    <row r="63" spans="1:17" ht="13.5" thickBot="1" x14ac:dyDescent="0.25">
      <c r="A63" s="571" t="s">
        <v>348</v>
      </c>
      <c r="B63" s="576"/>
      <c r="C63" s="577"/>
      <c r="D63" s="577"/>
      <c r="E63" s="578"/>
      <c r="F63" s="621">
        <f>F62</f>
        <v>644928.55641025619</v>
      </c>
      <c r="G63" s="577">
        <f>F63+G62</f>
        <v>1247075.8897435891</v>
      </c>
      <c r="H63" s="577">
        <f t="shared" ref="H63:Q63" si="63">G63+H62</f>
        <v>797153.36878590065</v>
      </c>
      <c r="I63" s="577">
        <f t="shared" si="63"/>
        <v>793626.48637619987</v>
      </c>
      <c r="J63" s="577">
        <f t="shared" si="63"/>
        <v>1021592.3333209882</v>
      </c>
      <c r="K63" s="577">
        <f t="shared" si="63"/>
        <v>1497318.5352998322</v>
      </c>
      <c r="L63" s="577">
        <f t="shared" si="63"/>
        <v>1792703.9748096364</v>
      </c>
      <c r="M63" s="577">
        <f t="shared" si="63"/>
        <v>2325900.0068194405</v>
      </c>
      <c r="N63" s="577">
        <f t="shared" si="63"/>
        <v>2707361.5063292449</v>
      </c>
      <c r="O63" s="577">
        <f t="shared" si="63"/>
        <v>3024443.4883390488</v>
      </c>
      <c r="P63" s="577">
        <f t="shared" si="63"/>
        <v>3558468.4453488528</v>
      </c>
      <c r="Q63" s="578">
        <f t="shared" si="63"/>
        <v>4024897.829858657</v>
      </c>
    </row>
  </sheetData>
  <pageMargins left="0.7" right="0.7" top="0.75" bottom="0.75" header="0.3" footer="0.3"/>
  <pageSetup paperSize="9" orientation="portrait" horizontalDpi="4294967293"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F90D-5424-4484-A321-7955B2D8DE8E}">
  <sheetPr>
    <tabColor rgb="FF00B050"/>
  </sheetPr>
  <dimension ref="A1:O22"/>
  <sheetViews>
    <sheetView workbookViewId="0">
      <pane xSplit="3" ySplit="3" topLeftCell="D4" activePane="bottomRight" state="frozen"/>
      <selection pane="topRight" activeCell="D1" sqref="D1"/>
      <selection pane="bottomLeft" activeCell="A4" sqref="A4"/>
      <selection pane="bottomRight" activeCell="L14" sqref="L14"/>
    </sheetView>
  </sheetViews>
  <sheetFormatPr defaultRowHeight="12.75" x14ac:dyDescent="0.2"/>
  <cols>
    <col min="1" max="1" width="28.5" style="2" customWidth="1"/>
    <col min="2" max="16384" width="9.33203125" style="2"/>
  </cols>
  <sheetData>
    <row r="1" spans="1:15" x14ac:dyDescent="0.2">
      <c r="B1" s="2" t="s">
        <v>483</v>
      </c>
      <c r="C1" s="2" t="s">
        <v>486</v>
      </c>
    </row>
    <row r="2" spans="1:15" x14ac:dyDescent="0.2">
      <c r="B2" s="2" t="s">
        <v>484</v>
      </c>
      <c r="C2" s="2" t="s">
        <v>506</v>
      </c>
    </row>
    <row r="3" spans="1:15" x14ac:dyDescent="0.2">
      <c r="A3" s="3" t="s">
        <v>482</v>
      </c>
      <c r="B3" s="2" t="s">
        <v>485</v>
      </c>
      <c r="C3" s="2" t="s">
        <v>507</v>
      </c>
      <c r="D3" s="636" t="str">
        <f>'P1 Area'!C6</f>
        <v>Mar</v>
      </c>
      <c r="E3" s="636" t="str">
        <f>'P1 Area'!D6</f>
        <v>Apr</v>
      </c>
      <c r="F3" s="636" t="str">
        <f>'P1 Area'!E6</f>
        <v>May</v>
      </c>
      <c r="G3" s="636" t="str">
        <f>'P1 Area'!F6</f>
        <v>Jun</v>
      </c>
      <c r="H3" s="636" t="str">
        <f>'P1 Area'!G6</f>
        <v>Jul</v>
      </c>
      <c r="I3" s="636" t="str">
        <f>'P1 Area'!H6</f>
        <v>Aug</v>
      </c>
      <c r="J3" s="636" t="str">
        <f>'P1 Area'!I6</f>
        <v>Sep</v>
      </c>
      <c r="K3" s="636" t="str">
        <f>'P1 Area'!J6</f>
        <v>Oct</v>
      </c>
      <c r="L3" s="636" t="str">
        <f>'P1 Area'!K6</f>
        <v>Nov</v>
      </c>
      <c r="M3" s="636" t="str">
        <f>'P1 Area'!L6</f>
        <v>Dec</v>
      </c>
      <c r="N3" s="636" t="str">
        <f>'P1 Area'!M6</f>
        <v>Jan</v>
      </c>
      <c r="O3" s="636" t="str">
        <f>'P1 Area'!N6</f>
        <v>Feb</v>
      </c>
    </row>
    <row r="4" spans="1:15" x14ac:dyDescent="0.2">
      <c r="A4" s="2" t="str">
        <f>'P1 Bal'!C73</f>
        <v>Cows in Milk</v>
      </c>
      <c r="B4" s="653">
        <f>SUM(D4:O4)</f>
        <v>0</v>
      </c>
      <c r="C4" s="653">
        <f t="shared" ref="C4:C11" si="0">-B4</f>
        <v>0</v>
      </c>
    </row>
    <row r="5" spans="1:15" x14ac:dyDescent="0.2">
      <c r="A5" s="2" t="str">
        <f>'P1 Bal'!C74</f>
        <v>Dry Cows</v>
      </c>
      <c r="B5" s="653">
        <f t="shared" ref="B5:B11" si="1">SUM(D5:O5)</f>
        <v>0</v>
      </c>
      <c r="C5" s="653">
        <f t="shared" si="0"/>
        <v>0</v>
      </c>
    </row>
    <row r="6" spans="1:15" x14ac:dyDescent="0.2">
      <c r="A6" s="2" t="str">
        <f>'P1 Bal'!C75</f>
        <v>Heifers in Calf</v>
      </c>
      <c r="B6" s="653">
        <f t="shared" si="1"/>
        <v>0</v>
      </c>
      <c r="C6" s="653">
        <f t="shared" si="0"/>
        <v>0</v>
      </c>
    </row>
    <row r="7" spans="1:15" x14ac:dyDescent="0.2">
      <c r="A7" s="2" t="str">
        <f>'P1 Bal'!C76</f>
        <v>Post-Weaned Heifers</v>
      </c>
      <c r="B7" s="653">
        <f t="shared" si="1"/>
        <v>0</v>
      </c>
      <c r="C7" s="653">
        <f t="shared" si="0"/>
        <v>0</v>
      </c>
    </row>
    <row r="8" spans="1:15" x14ac:dyDescent="0.2">
      <c r="A8" s="2" t="str">
        <f>'P1 Bal'!C77</f>
        <v>Pre-Weaned Heifers</v>
      </c>
      <c r="B8" s="653">
        <f t="shared" si="1"/>
        <v>0</v>
      </c>
      <c r="C8" s="653">
        <f t="shared" si="0"/>
        <v>0</v>
      </c>
    </row>
    <row r="9" spans="1:15" x14ac:dyDescent="0.2">
      <c r="A9" s="2" t="str">
        <f>'P1 Bal'!C78</f>
        <v>Bull calves</v>
      </c>
      <c r="B9" s="653">
        <f t="shared" si="1"/>
        <v>0</v>
      </c>
      <c r="C9" s="653">
        <f t="shared" si="0"/>
        <v>0</v>
      </c>
    </row>
    <row r="10" spans="1:15" x14ac:dyDescent="0.2">
      <c r="A10" s="2" t="str">
        <f>'P1 Bal'!C79</f>
        <v>Bulls (12-24 mth)</v>
      </c>
      <c r="B10" s="653">
        <f t="shared" si="1"/>
        <v>0</v>
      </c>
      <c r="C10" s="653">
        <f t="shared" si="0"/>
        <v>0</v>
      </c>
    </row>
    <row r="11" spans="1:15" x14ac:dyDescent="0.2">
      <c r="A11" s="2" t="str">
        <f>'P1 Bal'!C80</f>
        <v>Bulls (Mature)</v>
      </c>
      <c r="B11" s="653">
        <f t="shared" si="1"/>
        <v>0</v>
      </c>
      <c r="C11" s="653">
        <f t="shared" si="0"/>
        <v>0</v>
      </c>
    </row>
    <row r="14" spans="1:15" x14ac:dyDescent="0.2">
      <c r="A14" s="3" t="s">
        <v>490</v>
      </c>
    </row>
    <row r="15" spans="1:15" x14ac:dyDescent="0.2">
      <c r="A15" s="2">
        <f>'P1 Feeding'!A16</f>
        <v>0</v>
      </c>
    </row>
    <row r="16" spans="1:15" x14ac:dyDescent="0.2">
      <c r="A16" s="2">
        <f>'P1 Feeding'!A17</f>
        <v>0</v>
      </c>
    </row>
    <row r="17" spans="1:1" x14ac:dyDescent="0.2">
      <c r="A17" s="2">
        <f>'P1 Feeding'!A18</f>
        <v>0</v>
      </c>
    </row>
    <row r="19" spans="1:1" x14ac:dyDescent="0.2">
      <c r="A19" s="3" t="s">
        <v>491</v>
      </c>
    </row>
    <row r="20" spans="1:1" x14ac:dyDescent="0.2">
      <c r="A20" s="2" t="str">
        <f>'P2 Feeding'!A16</f>
        <v>Irr - Crop 1 (Lucern)</v>
      </c>
    </row>
    <row r="21" spans="1:1" x14ac:dyDescent="0.2">
      <c r="A21" s="2" t="str">
        <f>'P2 Feeding'!A17</f>
        <v>Irr - Crop 2 (Oats)</v>
      </c>
    </row>
    <row r="22" spans="1:1" x14ac:dyDescent="0.2">
      <c r="A22" s="2" t="str">
        <f>'P2 Feeding'!A18</f>
        <v>Irr - Crop 3 (Sorgum)</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92EF0-CFB5-40A2-B8D8-636B6A459821}">
  <dimension ref="A3:A6"/>
  <sheetViews>
    <sheetView zoomScale="140" zoomScaleNormal="140" workbookViewId="0">
      <selection activeCell="A6" sqref="A6"/>
    </sheetView>
  </sheetViews>
  <sheetFormatPr defaultRowHeight="12.75" x14ac:dyDescent="0.2"/>
  <cols>
    <col min="1" max="1" width="50.33203125" customWidth="1"/>
  </cols>
  <sheetData>
    <row r="3" spans="1:1" x14ac:dyDescent="0.2">
      <c r="A3" t="s">
        <v>511</v>
      </c>
    </row>
    <row r="4" spans="1:1" x14ac:dyDescent="0.2">
      <c r="A4" t="s">
        <v>519</v>
      </c>
    </row>
    <row r="5" spans="1:1" x14ac:dyDescent="0.2">
      <c r="A5" t="s">
        <v>516</v>
      </c>
    </row>
    <row r="6" spans="1:1" x14ac:dyDescent="0.2">
      <c r="A6" t="s">
        <v>517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C8607-5EE0-4F34-BBDD-C8EBC9CFC63E}">
  <sheetPr>
    <tabColor rgb="FFFF0000"/>
  </sheetPr>
  <dimension ref="A1:AC135"/>
  <sheetViews>
    <sheetView topLeftCell="A12" workbookViewId="0">
      <selection activeCell="A18" sqref="A7:N18"/>
    </sheetView>
  </sheetViews>
  <sheetFormatPr defaultRowHeight="12.75" x14ac:dyDescent="0.2"/>
  <cols>
    <col min="1" max="1" width="14.6640625" style="460" customWidth="1"/>
    <col min="2" max="2" width="8.5" style="460" customWidth="1"/>
    <col min="3" max="14" width="12.1640625" style="460" customWidth="1"/>
    <col min="15" max="15" width="9.33203125" style="460"/>
    <col min="16" max="16" width="33" style="460" customWidth="1"/>
    <col min="17" max="17" width="11.1640625" style="460" bestFit="1" customWidth="1"/>
    <col min="18" max="16384" width="9.33203125" style="460"/>
  </cols>
  <sheetData>
    <row r="1" spans="1:29" ht="18.75" x14ac:dyDescent="0.3">
      <c r="A1" s="835" t="s">
        <v>283</v>
      </c>
      <c r="B1" s="835"/>
      <c r="C1" s="835"/>
      <c r="D1" s="835"/>
      <c r="E1" s="835"/>
      <c r="F1" s="835"/>
      <c r="G1" s="835"/>
      <c r="H1" s="835"/>
      <c r="I1" s="835"/>
      <c r="J1" s="835"/>
      <c r="K1" s="835"/>
      <c r="L1" s="835"/>
      <c r="M1" s="835"/>
      <c r="N1" s="835"/>
    </row>
    <row r="3" spans="1:29" ht="15.75" x14ac:dyDescent="0.25">
      <c r="A3" s="458" t="s">
        <v>175</v>
      </c>
      <c r="B3" s="459"/>
      <c r="C3" s="459">
        <v>0</v>
      </c>
      <c r="D3" s="459"/>
      <c r="E3" s="459"/>
      <c r="F3" s="459"/>
      <c r="G3" s="459"/>
      <c r="H3" s="459"/>
      <c r="I3" s="459"/>
      <c r="J3" s="459"/>
      <c r="K3" s="459"/>
      <c r="L3" s="459"/>
      <c r="M3" s="459"/>
      <c r="N3" s="459"/>
      <c r="O3" s="459"/>
      <c r="Q3" s="459"/>
      <c r="R3" s="459"/>
      <c r="S3" s="459"/>
      <c r="T3" s="459"/>
      <c r="U3" s="459"/>
      <c r="V3" s="459"/>
      <c r="W3" s="459"/>
      <c r="X3" s="459"/>
      <c r="Y3" s="459"/>
      <c r="Z3" s="459"/>
      <c r="AA3" s="459"/>
      <c r="AB3" s="459"/>
    </row>
    <row r="4" spans="1:29" ht="15.75" x14ac:dyDescent="0.25">
      <c r="A4" s="461"/>
      <c r="B4" s="459"/>
      <c r="C4" s="459"/>
      <c r="D4" s="459"/>
      <c r="E4" s="459"/>
      <c r="F4" s="459"/>
      <c r="G4" s="459"/>
      <c r="H4" s="459"/>
      <c r="I4" s="459"/>
      <c r="J4" s="459"/>
      <c r="K4" s="459"/>
      <c r="L4" s="459"/>
      <c r="M4" s="459"/>
      <c r="N4" s="459"/>
      <c r="O4" s="459"/>
      <c r="Q4" s="459"/>
      <c r="R4" s="459"/>
      <c r="S4" s="459"/>
      <c r="T4" s="459"/>
      <c r="U4" s="459"/>
      <c r="V4" s="459"/>
      <c r="W4" s="459"/>
      <c r="X4" s="459"/>
      <c r="Y4" s="459"/>
      <c r="Z4" s="459"/>
      <c r="AA4" s="459"/>
      <c r="AB4" s="459"/>
    </row>
    <row r="5" spans="1:29" ht="16.5" thickBot="1" x14ac:dyDescent="0.3">
      <c r="A5" s="445" t="s">
        <v>80</v>
      </c>
      <c r="B5" s="446"/>
      <c r="C5" s="446"/>
      <c r="D5" s="446"/>
      <c r="E5" s="446"/>
      <c r="F5" s="446"/>
      <c r="G5" s="446"/>
      <c r="H5" s="446"/>
      <c r="I5" s="446"/>
      <c r="J5" s="446"/>
      <c r="K5" s="446"/>
      <c r="L5" s="446"/>
      <c r="M5" s="446"/>
      <c r="N5" s="446"/>
      <c r="O5" s="459"/>
      <c r="P5" s="445" t="s">
        <v>78</v>
      </c>
      <c r="Q5" s="446"/>
      <c r="R5" s="446"/>
      <c r="S5" s="446"/>
      <c r="T5" s="446"/>
      <c r="U5" s="446"/>
      <c r="V5" s="446"/>
      <c r="W5" s="446"/>
      <c r="X5" s="446"/>
      <c r="Y5" s="446"/>
      <c r="Z5" s="446"/>
      <c r="AA5" s="446"/>
      <c r="AB5" s="446"/>
    </row>
    <row r="6" spans="1:29" ht="25.5" x14ac:dyDescent="0.2">
      <c r="A6" s="470" t="s">
        <v>45</v>
      </c>
      <c r="B6" s="471" t="s">
        <v>77</v>
      </c>
      <c r="C6" s="448" t="str">
        <f>'P1 Area'!C6</f>
        <v>Mar</v>
      </c>
      <c r="D6" s="448" t="str">
        <f>'P1 Area'!D6</f>
        <v>Apr</v>
      </c>
      <c r="E6" s="448" t="str">
        <f>'P1 Area'!E6</f>
        <v>May</v>
      </c>
      <c r="F6" s="448" t="str">
        <f>'P1 Area'!F6</f>
        <v>Jun</v>
      </c>
      <c r="G6" s="448" t="str">
        <f>'P1 Area'!G6</f>
        <v>Jul</v>
      </c>
      <c r="H6" s="449" t="str">
        <f>'P1 Area'!H6</f>
        <v>Aug</v>
      </c>
      <c r="I6" s="448" t="str">
        <f>'P1 Area'!I6</f>
        <v>Sep</v>
      </c>
      <c r="J6" s="448" t="str">
        <f>'P1 Area'!J6</f>
        <v>Oct</v>
      </c>
      <c r="K6" s="448" t="str">
        <f>'P1 Area'!K6</f>
        <v>Nov</v>
      </c>
      <c r="L6" s="448" t="str">
        <f>'P1 Area'!L6</f>
        <v>Dec</v>
      </c>
      <c r="M6" s="448" t="str">
        <f>'P1 Area'!M6</f>
        <v>Jan</v>
      </c>
      <c r="N6" s="472" t="str">
        <f>'P1 Area'!N6</f>
        <v>Feb</v>
      </c>
      <c r="O6" s="459"/>
      <c r="P6" s="447"/>
      <c r="Q6" s="448" t="str">
        <f>C6</f>
        <v>Mar</v>
      </c>
      <c r="R6" s="448" t="str">
        <f t="shared" ref="R6:AB6" si="0">D6</f>
        <v>Apr</v>
      </c>
      <c r="S6" s="448" t="str">
        <f t="shared" si="0"/>
        <v>May</v>
      </c>
      <c r="T6" s="448" t="str">
        <f t="shared" si="0"/>
        <v>Jun</v>
      </c>
      <c r="U6" s="448" t="str">
        <f t="shared" si="0"/>
        <v>Jul</v>
      </c>
      <c r="V6" s="449" t="str">
        <f t="shared" si="0"/>
        <v>Aug</v>
      </c>
      <c r="W6" s="448" t="str">
        <f t="shared" si="0"/>
        <v>Sep</v>
      </c>
      <c r="X6" s="448" t="str">
        <f t="shared" si="0"/>
        <v>Oct</v>
      </c>
      <c r="Y6" s="448" t="str">
        <f t="shared" si="0"/>
        <v>Nov</v>
      </c>
      <c r="Z6" s="448" t="str">
        <f t="shared" si="0"/>
        <v>Dec</v>
      </c>
      <c r="AA6" s="448" t="str">
        <f t="shared" si="0"/>
        <v>Jan</v>
      </c>
      <c r="AB6" s="448" t="str">
        <f t="shared" si="0"/>
        <v>Feb</v>
      </c>
    </row>
    <row r="7" spans="1:29" x14ac:dyDescent="0.2">
      <c r="A7" s="294"/>
      <c r="B7" s="295"/>
      <c r="C7" s="296"/>
      <c r="D7" s="296"/>
      <c r="E7" s="296"/>
      <c r="F7" s="296"/>
      <c r="G7" s="296"/>
      <c r="H7" s="296"/>
      <c r="I7" s="296"/>
      <c r="J7" s="296"/>
      <c r="K7" s="296"/>
      <c r="L7" s="296"/>
      <c r="M7" s="296"/>
      <c r="N7" s="297"/>
      <c r="O7" s="459"/>
      <c r="P7" s="452" t="s">
        <v>442</v>
      </c>
      <c r="Q7" s="450">
        <f t="shared" ref="Q7:AB18" si="1">SUMIFS($B$7:$B$107,C$7:C$107,$P7)</f>
        <v>0</v>
      </c>
      <c r="R7" s="450">
        <f t="shared" si="1"/>
        <v>0</v>
      </c>
      <c r="S7" s="450">
        <f t="shared" si="1"/>
        <v>0</v>
      </c>
      <c r="T7" s="450">
        <f t="shared" si="1"/>
        <v>0</v>
      </c>
      <c r="U7" s="450">
        <f t="shared" si="1"/>
        <v>0</v>
      </c>
      <c r="V7" s="451">
        <f t="shared" si="1"/>
        <v>0</v>
      </c>
      <c r="W7" s="450">
        <f t="shared" si="1"/>
        <v>0</v>
      </c>
      <c r="X7" s="450">
        <f t="shared" si="1"/>
        <v>0</v>
      </c>
      <c r="Y7" s="450">
        <f t="shared" si="1"/>
        <v>0</v>
      </c>
      <c r="Z7" s="450">
        <f t="shared" si="1"/>
        <v>0</v>
      </c>
      <c r="AA7" s="450">
        <f t="shared" si="1"/>
        <v>0</v>
      </c>
      <c r="AB7" s="450">
        <f t="shared" si="1"/>
        <v>0</v>
      </c>
      <c r="AC7" s="460">
        <f t="shared" ref="AC7:AC8" si="2">MAX(Q7:AB7)</f>
        <v>0</v>
      </c>
    </row>
    <row r="8" spans="1:29" x14ac:dyDescent="0.2">
      <c r="A8" s="298"/>
      <c r="B8" s="289"/>
      <c r="C8" s="299"/>
      <c r="D8" s="299"/>
      <c r="E8" s="299"/>
      <c r="F8" s="299"/>
      <c r="G8" s="299"/>
      <c r="H8" s="299"/>
      <c r="I8" s="299"/>
      <c r="J8" s="299"/>
      <c r="K8" s="299"/>
      <c r="L8" s="299"/>
      <c r="M8" s="299"/>
      <c r="N8" s="300"/>
      <c r="O8" s="459"/>
      <c r="P8" s="452" t="s">
        <v>443</v>
      </c>
      <c r="Q8" s="453">
        <f t="shared" si="1"/>
        <v>0</v>
      </c>
      <c r="R8" s="453">
        <f t="shared" si="1"/>
        <v>0</v>
      </c>
      <c r="S8" s="453">
        <f t="shared" si="1"/>
        <v>0</v>
      </c>
      <c r="T8" s="453">
        <f t="shared" si="1"/>
        <v>0</v>
      </c>
      <c r="U8" s="453">
        <f t="shared" si="1"/>
        <v>0</v>
      </c>
      <c r="V8" s="454">
        <f t="shared" si="1"/>
        <v>0</v>
      </c>
      <c r="W8" s="453">
        <f t="shared" si="1"/>
        <v>0</v>
      </c>
      <c r="X8" s="453">
        <f t="shared" si="1"/>
        <v>0</v>
      </c>
      <c r="Y8" s="453">
        <f t="shared" si="1"/>
        <v>0</v>
      </c>
      <c r="Z8" s="453">
        <f t="shared" si="1"/>
        <v>0</v>
      </c>
      <c r="AA8" s="453">
        <f t="shared" si="1"/>
        <v>0</v>
      </c>
      <c r="AB8" s="453">
        <f t="shared" si="1"/>
        <v>0</v>
      </c>
      <c r="AC8" s="460">
        <f t="shared" si="2"/>
        <v>0</v>
      </c>
    </row>
    <row r="9" spans="1:29" x14ac:dyDescent="0.2">
      <c r="A9" s="298"/>
      <c r="B9" s="289"/>
      <c r="C9" s="299"/>
      <c r="D9" s="299"/>
      <c r="E9" s="299"/>
      <c r="F9" s="299"/>
      <c r="G9" s="299"/>
      <c r="H9" s="299"/>
      <c r="I9" s="299"/>
      <c r="J9" s="299"/>
      <c r="K9" s="299"/>
      <c r="L9" s="299"/>
      <c r="M9" s="299"/>
      <c r="N9" s="300"/>
      <c r="O9" s="459"/>
      <c r="P9" s="452" t="s">
        <v>444</v>
      </c>
      <c r="Q9" s="453">
        <f t="shared" si="1"/>
        <v>0</v>
      </c>
      <c r="R9" s="453">
        <f t="shared" si="1"/>
        <v>0</v>
      </c>
      <c r="S9" s="453">
        <f t="shared" si="1"/>
        <v>0</v>
      </c>
      <c r="T9" s="453">
        <f t="shared" si="1"/>
        <v>0</v>
      </c>
      <c r="U9" s="453">
        <f t="shared" si="1"/>
        <v>0</v>
      </c>
      <c r="V9" s="454">
        <f t="shared" si="1"/>
        <v>0</v>
      </c>
      <c r="W9" s="453">
        <f t="shared" si="1"/>
        <v>0</v>
      </c>
      <c r="X9" s="453">
        <f t="shared" si="1"/>
        <v>0</v>
      </c>
      <c r="Y9" s="453">
        <f t="shared" si="1"/>
        <v>0</v>
      </c>
      <c r="Z9" s="453">
        <f t="shared" si="1"/>
        <v>0</v>
      </c>
      <c r="AA9" s="453">
        <f t="shared" si="1"/>
        <v>0</v>
      </c>
      <c r="AB9" s="453">
        <f t="shared" si="1"/>
        <v>0</v>
      </c>
      <c r="AC9" s="460">
        <f>MAX(Q9:AB9)</f>
        <v>0</v>
      </c>
    </row>
    <row r="10" spans="1:29" x14ac:dyDescent="0.2">
      <c r="A10" s="298"/>
      <c r="B10" s="289"/>
      <c r="C10" s="299"/>
      <c r="D10" s="299"/>
      <c r="E10" s="299"/>
      <c r="F10" s="299"/>
      <c r="G10" s="299"/>
      <c r="H10" s="299"/>
      <c r="I10" s="299"/>
      <c r="J10" s="299"/>
      <c r="K10" s="299"/>
      <c r="L10" s="299"/>
      <c r="M10" s="299"/>
      <c r="N10" s="300"/>
      <c r="O10" s="459"/>
      <c r="P10" s="452" t="s">
        <v>445</v>
      </c>
      <c r="Q10" s="453">
        <f t="shared" si="1"/>
        <v>0</v>
      </c>
      <c r="R10" s="453">
        <f t="shared" si="1"/>
        <v>0</v>
      </c>
      <c r="S10" s="453">
        <f t="shared" si="1"/>
        <v>0</v>
      </c>
      <c r="T10" s="453">
        <f t="shared" si="1"/>
        <v>0</v>
      </c>
      <c r="U10" s="453">
        <f t="shared" si="1"/>
        <v>0</v>
      </c>
      <c r="V10" s="454">
        <f t="shared" si="1"/>
        <v>0</v>
      </c>
      <c r="W10" s="453">
        <f t="shared" si="1"/>
        <v>0</v>
      </c>
      <c r="X10" s="453">
        <f t="shared" si="1"/>
        <v>0</v>
      </c>
      <c r="Y10" s="453">
        <f t="shared" si="1"/>
        <v>0</v>
      </c>
      <c r="Z10" s="453">
        <f t="shared" si="1"/>
        <v>0</v>
      </c>
      <c r="AA10" s="453">
        <f t="shared" si="1"/>
        <v>0</v>
      </c>
      <c r="AB10" s="453">
        <f t="shared" si="1"/>
        <v>0</v>
      </c>
      <c r="AC10" s="460">
        <f t="shared" ref="AC10:AC18" si="3">MAX(Q10:AB10)</f>
        <v>0</v>
      </c>
    </row>
    <row r="11" spans="1:29" x14ac:dyDescent="0.2">
      <c r="A11" s="298"/>
      <c r="B11" s="289"/>
      <c r="C11" s="299"/>
      <c r="D11" s="299"/>
      <c r="E11" s="299"/>
      <c r="F11" s="299"/>
      <c r="G11" s="299"/>
      <c r="H11" s="299"/>
      <c r="I11" s="299"/>
      <c r="J11" s="299"/>
      <c r="K11" s="299"/>
      <c r="L11" s="299"/>
      <c r="M11" s="299"/>
      <c r="N11" s="300"/>
      <c r="O11" s="459"/>
      <c r="P11" s="452" t="s">
        <v>446</v>
      </c>
      <c r="Q11" s="453">
        <f t="shared" si="1"/>
        <v>0</v>
      </c>
      <c r="R11" s="453">
        <f t="shared" si="1"/>
        <v>0</v>
      </c>
      <c r="S11" s="453">
        <f t="shared" si="1"/>
        <v>0</v>
      </c>
      <c r="T11" s="453">
        <f t="shared" si="1"/>
        <v>0</v>
      </c>
      <c r="U11" s="453">
        <f t="shared" si="1"/>
        <v>0</v>
      </c>
      <c r="V11" s="454">
        <f t="shared" si="1"/>
        <v>0</v>
      </c>
      <c r="W11" s="453">
        <f t="shared" si="1"/>
        <v>0</v>
      </c>
      <c r="X11" s="453">
        <f t="shared" si="1"/>
        <v>0</v>
      </c>
      <c r="Y11" s="453">
        <f t="shared" si="1"/>
        <v>0</v>
      </c>
      <c r="Z11" s="453">
        <f t="shared" si="1"/>
        <v>0</v>
      </c>
      <c r="AA11" s="453">
        <f t="shared" si="1"/>
        <v>0</v>
      </c>
      <c r="AB11" s="453">
        <f t="shared" si="1"/>
        <v>0</v>
      </c>
      <c r="AC11" s="460">
        <f t="shared" si="3"/>
        <v>0</v>
      </c>
    </row>
    <row r="12" spans="1:29" x14ac:dyDescent="0.2">
      <c r="A12" s="298"/>
      <c r="B12" s="289"/>
      <c r="C12" s="299"/>
      <c r="D12" s="299"/>
      <c r="E12" s="299"/>
      <c r="F12" s="299"/>
      <c r="G12" s="299"/>
      <c r="H12" s="299"/>
      <c r="I12" s="299"/>
      <c r="J12" s="299"/>
      <c r="K12" s="299"/>
      <c r="L12" s="299"/>
      <c r="M12" s="299"/>
      <c r="N12" s="300"/>
      <c r="O12" s="459"/>
      <c r="P12" s="452" t="s">
        <v>479</v>
      </c>
      <c r="Q12" s="453">
        <f t="shared" si="1"/>
        <v>0</v>
      </c>
      <c r="R12" s="453">
        <f t="shared" si="1"/>
        <v>0</v>
      </c>
      <c r="S12" s="453">
        <f t="shared" si="1"/>
        <v>0</v>
      </c>
      <c r="T12" s="453">
        <f t="shared" si="1"/>
        <v>0</v>
      </c>
      <c r="U12" s="453">
        <f t="shared" si="1"/>
        <v>0</v>
      </c>
      <c r="V12" s="454">
        <f t="shared" si="1"/>
        <v>0</v>
      </c>
      <c r="W12" s="453">
        <f t="shared" si="1"/>
        <v>0</v>
      </c>
      <c r="X12" s="453">
        <f t="shared" si="1"/>
        <v>0</v>
      </c>
      <c r="Y12" s="453">
        <f t="shared" si="1"/>
        <v>0</v>
      </c>
      <c r="Z12" s="453">
        <f t="shared" si="1"/>
        <v>0</v>
      </c>
      <c r="AA12" s="453">
        <f t="shared" si="1"/>
        <v>0</v>
      </c>
      <c r="AB12" s="453">
        <f t="shared" si="1"/>
        <v>0</v>
      </c>
      <c r="AC12" s="460">
        <f t="shared" si="3"/>
        <v>0</v>
      </c>
    </row>
    <row r="13" spans="1:29" x14ac:dyDescent="0.2">
      <c r="A13" s="298"/>
      <c r="B13" s="289"/>
      <c r="C13" s="299"/>
      <c r="D13" s="299"/>
      <c r="E13" s="299"/>
      <c r="F13" s="299"/>
      <c r="G13" s="299"/>
      <c r="H13" s="299"/>
      <c r="I13" s="299"/>
      <c r="J13" s="299"/>
      <c r="K13" s="299"/>
      <c r="L13" s="299"/>
      <c r="M13" s="299"/>
      <c r="N13" s="300"/>
      <c r="O13" s="459"/>
      <c r="P13" s="452" t="s">
        <v>480</v>
      </c>
      <c r="Q13" s="453">
        <f t="shared" si="1"/>
        <v>0</v>
      </c>
      <c r="R13" s="453">
        <f t="shared" si="1"/>
        <v>0</v>
      </c>
      <c r="S13" s="453">
        <f t="shared" si="1"/>
        <v>0</v>
      </c>
      <c r="T13" s="453">
        <f t="shared" si="1"/>
        <v>0</v>
      </c>
      <c r="U13" s="453">
        <f t="shared" si="1"/>
        <v>0</v>
      </c>
      <c r="V13" s="454">
        <f t="shared" si="1"/>
        <v>0</v>
      </c>
      <c r="W13" s="453">
        <f t="shared" si="1"/>
        <v>0</v>
      </c>
      <c r="X13" s="453">
        <f t="shared" si="1"/>
        <v>0</v>
      </c>
      <c r="Y13" s="453">
        <f t="shared" si="1"/>
        <v>0</v>
      </c>
      <c r="Z13" s="453">
        <f t="shared" si="1"/>
        <v>0</v>
      </c>
      <c r="AA13" s="453">
        <f t="shared" si="1"/>
        <v>0</v>
      </c>
      <c r="AB13" s="453">
        <f t="shared" si="1"/>
        <v>0</v>
      </c>
      <c r="AC13" s="460">
        <f t="shared" si="3"/>
        <v>0</v>
      </c>
    </row>
    <row r="14" spans="1:29" x14ac:dyDescent="0.2">
      <c r="A14" s="298"/>
      <c r="B14" s="289"/>
      <c r="C14" s="299"/>
      <c r="D14" s="299"/>
      <c r="E14" s="299"/>
      <c r="F14" s="299"/>
      <c r="G14" s="299"/>
      <c r="H14" s="299"/>
      <c r="I14" s="299"/>
      <c r="J14" s="299"/>
      <c r="K14" s="299"/>
      <c r="L14" s="299"/>
      <c r="M14" s="299"/>
      <c r="N14" s="300"/>
      <c r="O14" s="459"/>
      <c r="P14" s="452" t="s">
        <v>481</v>
      </c>
      <c r="Q14" s="453">
        <f t="shared" si="1"/>
        <v>0</v>
      </c>
      <c r="R14" s="453">
        <f t="shared" si="1"/>
        <v>0</v>
      </c>
      <c r="S14" s="453">
        <f t="shared" si="1"/>
        <v>0</v>
      </c>
      <c r="T14" s="453">
        <f t="shared" si="1"/>
        <v>0</v>
      </c>
      <c r="U14" s="453">
        <f t="shared" si="1"/>
        <v>0</v>
      </c>
      <c r="V14" s="454">
        <f t="shared" si="1"/>
        <v>0</v>
      </c>
      <c r="W14" s="453">
        <f t="shared" si="1"/>
        <v>0</v>
      </c>
      <c r="X14" s="453">
        <f t="shared" si="1"/>
        <v>0</v>
      </c>
      <c r="Y14" s="453">
        <f t="shared" si="1"/>
        <v>0</v>
      </c>
      <c r="Z14" s="453">
        <f t="shared" si="1"/>
        <v>0</v>
      </c>
      <c r="AA14" s="453">
        <f t="shared" si="1"/>
        <v>0</v>
      </c>
      <c r="AB14" s="453">
        <f t="shared" si="1"/>
        <v>0</v>
      </c>
      <c r="AC14" s="460">
        <f t="shared" si="3"/>
        <v>0</v>
      </c>
    </row>
    <row r="15" spans="1:29" x14ac:dyDescent="0.2">
      <c r="A15" s="298"/>
      <c r="B15" s="289"/>
      <c r="C15" s="299"/>
      <c r="D15" s="299"/>
      <c r="E15" s="299"/>
      <c r="F15" s="299"/>
      <c r="G15" s="299"/>
      <c r="H15" s="299"/>
      <c r="I15" s="299"/>
      <c r="J15" s="299"/>
      <c r="K15" s="299"/>
      <c r="L15" s="299"/>
      <c r="M15" s="299"/>
      <c r="N15" s="300"/>
      <c r="O15" s="459"/>
      <c r="P15" s="452" t="s">
        <v>447</v>
      </c>
      <c r="Q15" s="453">
        <f t="shared" si="1"/>
        <v>0</v>
      </c>
      <c r="R15" s="453">
        <f t="shared" si="1"/>
        <v>0</v>
      </c>
      <c r="S15" s="453">
        <f t="shared" si="1"/>
        <v>0</v>
      </c>
      <c r="T15" s="453">
        <f t="shared" si="1"/>
        <v>0</v>
      </c>
      <c r="U15" s="453">
        <f t="shared" si="1"/>
        <v>0</v>
      </c>
      <c r="V15" s="454">
        <f t="shared" si="1"/>
        <v>0</v>
      </c>
      <c r="W15" s="453">
        <f t="shared" si="1"/>
        <v>0</v>
      </c>
      <c r="X15" s="453">
        <f t="shared" si="1"/>
        <v>0</v>
      </c>
      <c r="Y15" s="453">
        <f t="shared" si="1"/>
        <v>0</v>
      </c>
      <c r="Z15" s="453">
        <f t="shared" si="1"/>
        <v>0</v>
      </c>
      <c r="AA15" s="453">
        <f t="shared" si="1"/>
        <v>0</v>
      </c>
      <c r="AB15" s="453">
        <f t="shared" si="1"/>
        <v>0</v>
      </c>
      <c r="AC15" s="460">
        <f t="shared" si="3"/>
        <v>0</v>
      </c>
    </row>
    <row r="16" spans="1:29" x14ac:dyDescent="0.2">
      <c r="A16" s="298"/>
      <c r="B16" s="289"/>
      <c r="C16" s="299"/>
      <c r="D16" s="299"/>
      <c r="E16" s="299"/>
      <c r="F16" s="299"/>
      <c r="G16" s="299"/>
      <c r="H16" s="299"/>
      <c r="I16" s="299"/>
      <c r="J16" s="299"/>
      <c r="K16" s="299"/>
      <c r="L16" s="299"/>
      <c r="M16" s="299"/>
      <c r="N16" s="300"/>
      <c r="O16" s="459"/>
      <c r="P16" s="452" t="s">
        <v>448</v>
      </c>
      <c r="Q16" s="453">
        <f t="shared" si="1"/>
        <v>0</v>
      </c>
      <c r="R16" s="453">
        <f t="shared" si="1"/>
        <v>0</v>
      </c>
      <c r="S16" s="453">
        <f t="shared" si="1"/>
        <v>0</v>
      </c>
      <c r="T16" s="453">
        <f t="shared" si="1"/>
        <v>0</v>
      </c>
      <c r="U16" s="453">
        <f t="shared" si="1"/>
        <v>0</v>
      </c>
      <c r="V16" s="454">
        <f t="shared" si="1"/>
        <v>0</v>
      </c>
      <c r="W16" s="453">
        <f t="shared" si="1"/>
        <v>0</v>
      </c>
      <c r="X16" s="453">
        <f t="shared" si="1"/>
        <v>0</v>
      </c>
      <c r="Y16" s="453">
        <f t="shared" si="1"/>
        <v>0</v>
      </c>
      <c r="Z16" s="453">
        <f t="shared" si="1"/>
        <v>0</v>
      </c>
      <c r="AA16" s="453">
        <f t="shared" si="1"/>
        <v>0</v>
      </c>
      <c r="AB16" s="453">
        <f t="shared" si="1"/>
        <v>0</v>
      </c>
      <c r="AC16" s="460">
        <f t="shared" si="3"/>
        <v>0</v>
      </c>
    </row>
    <row r="17" spans="1:29" x14ac:dyDescent="0.2">
      <c r="A17" s="298"/>
      <c r="B17" s="289"/>
      <c r="C17" s="299"/>
      <c r="D17" s="299"/>
      <c r="E17" s="299"/>
      <c r="F17" s="299"/>
      <c r="G17" s="299"/>
      <c r="H17" s="299"/>
      <c r="I17" s="299"/>
      <c r="J17" s="299"/>
      <c r="K17" s="299"/>
      <c r="L17" s="299"/>
      <c r="M17" s="299"/>
      <c r="N17" s="300"/>
      <c r="O17" s="459"/>
      <c r="P17" s="452" t="s">
        <v>449</v>
      </c>
      <c r="Q17" s="453">
        <f t="shared" si="1"/>
        <v>0</v>
      </c>
      <c r="R17" s="453">
        <f t="shared" si="1"/>
        <v>0</v>
      </c>
      <c r="S17" s="453">
        <f t="shared" si="1"/>
        <v>0</v>
      </c>
      <c r="T17" s="453">
        <f t="shared" si="1"/>
        <v>0</v>
      </c>
      <c r="U17" s="453">
        <f t="shared" si="1"/>
        <v>0</v>
      </c>
      <c r="V17" s="454">
        <f t="shared" si="1"/>
        <v>0</v>
      </c>
      <c r="W17" s="453">
        <f t="shared" si="1"/>
        <v>0</v>
      </c>
      <c r="X17" s="453">
        <f t="shared" si="1"/>
        <v>0</v>
      </c>
      <c r="Y17" s="453">
        <f t="shared" si="1"/>
        <v>0</v>
      </c>
      <c r="Z17" s="453">
        <f t="shared" si="1"/>
        <v>0</v>
      </c>
      <c r="AA17" s="453">
        <f t="shared" si="1"/>
        <v>0</v>
      </c>
      <c r="AB17" s="453">
        <f t="shared" si="1"/>
        <v>0</v>
      </c>
      <c r="AC17" s="460">
        <f t="shared" si="3"/>
        <v>0</v>
      </c>
    </row>
    <row r="18" spans="1:29" x14ac:dyDescent="0.2">
      <c r="A18" s="298"/>
      <c r="B18" s="289"/>
      <c r="C18" s="299"/>
      <c r="D18" s="299"/>
      <c r="E18" s="299"/>
      <c r="F18" s="299"/>
      <c r="G18" s="299"/>
      <c r="H18" s="299"/>
      <c r="I18" s="299"/>
      <c r="J18" s="299"/>
      <c r="K18" s="299"/>
      <c r="L18" s="299"/>
      <c r="M18" s="299"/>
      <c r="N18" s="300"/>
      <c r="O18" s="459"/>
      <c r="P18" s="452" t="s">
        <v>450</v>
      </c>
      <c r="Q18" s="453">
        <f t="shared" si="1"/>
        <v>0</v>
      </c>
      <c r="R18" s="453">
        <f t="shared" si="1"/>
        <v>0</v>
      </c>
      <c r="S18" s="453">
        <f t="shared" si="1"/>
        <v>0</v>
      </c>
      <c r="T18" s="453">
        <f t="shared" si="1"/>
        <v>0</v>
      </c>
      <c r="U18" s="453">
        <f t="shared" si="1"/>
        <v>0</v>
      </c>
      <c r="V18" s="454">
        <f t="shared" si="1"/>
        <v>0</v>
      </c>
      <c r="W18" s="453">
        <f t="shared" si="1"/>
        <v>0</v>
      </c>
      <c r="X18" s="453">
        <f t="shared" si="1"/>
        <v>0</v>
      </c>
      <c r="Y18" s="453">
        <f t="shared" si="1"/>
        <v>0</v>
      </c>
      <c r="Z18" s="453">
        <f t="shared" si="1"/>
        <v>0</v>
      </c>
      <c r="AA18" s="453">
        <f t="shared" si="1"/>
        <v>0</v>
      </c>
      <c r="AB18" s="453">
        <f t="shared" si="1"/>
        <v>0</v>
      </c>
      <c r="AC18" s="460">
        <f t="shared" si="3"/>
        <v>0</v>
      </c>
    </row>
    <row r="19" spans="1:29" ht="13.5" thickBot="1" x14ac:dyDescent="0.25">
      <c r="A19" s="298"/>
      <c r="B19" s="289"/>
      <c r="C19" s="299"/>
      <c r="D19" s="299"/>
      <c r="E19" s="299"/>
      <c r="F19" s="299"/>
      <c r="G19" s="299"/>
      <c r="H19" s="299"/>
      <c r="I19" s="299"/>
      <c r="J19" s="299"/>
      <c r="K19" s="299"/>
      <c r="L19" s="299"/>
      <c r="M19" s="299"/>
      <c r="N19" s="300"/>
      <c r="O19" s="459"/>
      <c r="P19" s="455" t="s">
        <v>67</v>
      </c>
      <c r="Q19" s="456">
        <f t="shared" ref="Q19:AB19" si="4">SUM(Q7:Q18)</f>
        <v>0</v>
      </c>
      <c r="R19" s="456">
        <f t="shared" si="4"/>
        <v>0</v>
      </c>
      <c r="S19" s="456">
        <f t="shared" si="4"/>
        <v>0</v>
      </c>
      <c r="T19" s="456">
        <f t="shared" si="4"/>
        <v>0</v>
      </c>
      <c r="U19" s="456">
        <f t="shared" si="4"/>
        <v>0</v>
      </c>
      <c r="V19" s="457">
        <f t="shared" si="4"/>
        <v>0</v>
      </c>
      <c r="W19" s="456">
        <f t="shared" si="4"/>
        <v>0</v>
      </c>
      <c r="X19" s="456">
        <f t="shared" si="4"/>
        <v>0</v>
      </c>
      <c r="Y19" s="456">
        <f t="shared" si="4"/>
        <v>0</v>
      </c>
      <c r="Z19" s="456">
        <f t="shared" si="4"/>
        <v>0</v>
      </c>
      <c r="AA19" s="456">
        <f t="shared" si="4"/>
        <v>0</v>
      </c>
      <c r="AB19" s="456">
        <f t="shared" si="4"/>
        <v>0</v>
      </c>
    </row>
    <row r="20" spans="1:29" x14ac:dyDescent="0.2">
      <c r="A20" s="298"/>
      <c r="B20" s="289"/>
      <c r="C20" s="299"/>
      <c r="D20" s="299"/>
      <c r="E20" s="299"/>
      <c r="F20" s="299"/>
      <c r="G20" s="299"/>
      <c r="H20" s="299"/>
      <c r="I20" s="299"/>
      <c r="J20" s="299"/>
      <c r="K20" s="299"/>
      <c r="L20" s="299"/>
      <c r="M20" s="299"/>
      <c r="N20" s="300"/>
      <c r="O20" s="459"/>
      <c r="P20" s="459"/>
      <c r="Q20" s="462"/>
      <c r="R20" s="462"/>
      <c r="S20" s="462"/>
      <c r="T20" s="462"/>
      <c r="U20" s="462"/>
      <c r="V20" s="462"/>
      <c r="W20" s="462"/>
      <c r="X20" s="462"/>
      <c r="Y20" s="462"/>
      <c r="Z20" s="462"/>
      <c r="AA20" s="462"/>
      <c r="AB20" s="462"/>
    </row>
    <row r="21" spans="1:29" x14ac:dyDescent="0.2">
      <c r="A21" s="298"/>
      <c r="B21" s="289"/>
      <c r="C21" s="299"/>
      <c r="D21" s="299"/>
      <c r="E21" s="299"/>
      <c r="F21" s="299"/>
      <c r="G21" s="299"/>
      <c r="H21" s="299"/>
      <c r="I21" s="299"/>
      <c r="J21" s="299"/>
      <c r="K21" s="299"/>
      <c r="L21" s="299"/>
      <c r="M21" s="299"/>
      <c r="N21" s="300"/>
      <c r="O21" s="459"/>
      <c r="P21" s="287"/>
      <c r="Q21" s="459"/>
      <c r="R21" s="459"/>
      <c r="S21" s="459"/>
      <c r="T21" s="459"/>
      <c r="U21" s="459"/>
      <c r="V21" s="459"/>
      <c r="W21" s="459"/>
      <c r="X21" s="459"/>
      <c r="Y21" s="459"/>
      <c r="Z21" s="459"/>
      <c r="AA21" s="459"/>
      <c r="AB21" s="459"/>
    </row>
    <row r="22" spans="1:29" x14ac:dyDescent="0.2">
      <c r="A22" s="298"/>
      <c r="B22" s="289"/>
      <c r="C22" s="299"/>
      <c r="D22" s="299"/>
      <c r="E22" s="299"/>
      <c r="F22" s="299"/>
      <c r="G22" s="299"/>
      <c r="H22" s="299"/>
      <c r="I22" s="299"/>
      <c r="J22" s="299"/>
      <c r="K22" s="299"/>
      <c r="L22" s="299"/>
      <c r="M22" s="299"/>
      <c r="N22" s="300"/>
      <c r="O22" s="459"/>
      <c r="P22" s="287" t="s">
        <v>367</v>
      </c>
      <c r="Q22" s="459">
        <f>SUM(Q7:Q9)</f>
        <v>0</v>
      </c>
      <c r="R22" s="459">
        <f t="shared" ref="R22:AB22" si="5">SUM(R7:R9)</f>
        <v>0</v>
      </c>
      <c r="S22" s="459">
        <f t="shared" si="5"/>
        <v>0</v>
      </c>
      <c r="T22" s="459">
        <f t="shared" si="5"/>
        <v>0</v>
      </c>
      <c r="U22" s="459">
        <f t="shared" si="5"/>
        <v>0</v>
      </c>
      <c r="V22" s="459">
        <f t="shared" si="5"/>
        <v>0</v>
      </c>
      <c r="W22" s="459">
        <f t="shared" si="5"/>
        <v>0</v>
      </c>
      <c r="X22" s="459">
        <f t="shared" si="5"/>
        <v>0</v>
      </c>
      <c r="Y22" s="459">
        <f t="shared" si="5"/>
        <v>0</v>
      </c>
      <c r="Z22" s="459">
        <f t="shared" si="5"/>
        <v>0</v>
      </c>
      <c r="AA22" s="459">
        <f t="shared" si="5"/>
        <v>0</v>
      </c>
      <c r="AB22" s="459">
        <f t="shared" si="5"/>
        <v>0</v>
      </c>
    </row>
    <row r="23" spans="1:29" x14ac:dyDescent="0.2">
      <c r="A23" s="298"/>
      <c r="B23" s="289"/>
      <c r="C23" s="299"/>
      <c r="D23" s="299"/>
      <c r="E23" s="299"/>
      <c r="F23" s="299"/>
      <c r="G23" s="299"/>
      <c r="H23" s="299"/>
      <c r="I23" s="299"/>
      <c r="J23" s="299"/>
      <c r="K23" s="299"/>
      <c r="L23" s="299"/>
      <c r="M23" s="299"/>
      <c r="N23" s="300"/>
      <c r="O23" s="459"/>
      <c r="P23" s="287" t="s">
        <v>368</v>
      </c>
      <c r="Q23" s="459">
        <f>SUM(Q10:Q11)</f>
        <v>0</v>
      </c>
      <c r="R23" s="459">
        <f t="shared" ref="R23:AB23" si="6">SUM(R10:R11)</f>
        <v>0</v>
      </c>
      <c r="S23" s="459">
        <f t="shared" si="6"/>
        <v>0</v>
      </c>
      <c r="T23" s="459">
        <f t="shared" si="6"/>
        <v>0</v>
      </c>
      <c r="U23" s="459">
        <f t="shared" si="6"/>
        <v>0</v>
      </c>
      <c r="V23" s="459">
        <f t="shared" si="6"/>
        <v>0</v>
      </c>
      <c r="W23" s="459">
        <f t="shared" si="6"/>
        <v>0</v>
      </c>
      <c r="X23" s="459">
        <f t="shared" si="6"/>
        <v>0</v>
      </c>
      <c r="Y23" s="459">
        <f t="shared" si="6"/>
        <v>0</v>
      </c>
      <c r="Z23" s="459">
        <f t="shared" si="6"/>
        <v>0</v>
      </c>
      <c r="AA23" s="459">
        <f t="shared" si="6"/>
        <v>0</v>
      </c>
      <c r="AB23" s="459">
        <f t="shared" si="6"/>
        <v>0</v>
      </c>
    </row>
    <row r="24" spans="1:29" x14ac:dyDescent="0.2">
      <c r="A24" s="298"/>
      <c r="B24" s="289"/>
      <c r="C24" s="299"/>
      <c r="D24" s="299"/>
      <c r="E24" s="299"/>
      <c r="F24" s="299"/>
      <c r="G24" s="299"/>
      <c r="H24" s="299"/>
      <c r="I24" s="299"/>
      <c r="J24" s="299"/>
      <c r="K24" s="299"/>
      <c r="L24" s="299"/>
      <c r="M24" s="299"/>
      <c r="N24" s="300"/>
      <c r="O24" s="459"/>
      <c r="P24" s="287" t="s">
        <v>393</v>
      </c>
      <c r="Q24" s="459">
        <f>SUM(Q12:Q14)</f>
        <v>0</v>
      </c>
      <c r="R24" s="459">
        <f t="shared" ref="R24:AB24" si="7">SUM(R12:R14)</f>
        <v>0</v>
      </c>
      <c r="S24" s="459">
        <f t="shared" si="7"/>
        <v>0</v>
      </c>
      <c r="T24" s="459">
        <f t="shared" si="7"/>
        <v>0</v>
      </c>
      <c r="U24" s="459">
        <f t="shared" si="7"/>
        <v>0</v>
      </c>
      <c r="V24" s="459">
        <f t="shared" si="7"/>
        <v>0</v>
      </c>
      <c r="W24" s="459">
        <f t="shared" si="7"/>
        <v>0</v>
      </c>
      <c r="X24" s="459">
        <f t="shared" si="7"/>
        <v>0</v>
      </c>
      <c r="Y24" s="459">
        <f t="shared" si="7"/>
        <v>0</v>
      </c>
      <c r="Z24" s="459">
        <f t="shared" si="7"/>
        <v>0</v>
      </c>
      <c r="AA24" s="459">
        <f t="shared" si="7"/>
        <v>0</v>
      </c>
      <c r="AB24" s="459">
        <f t="shared" si="7"/>
        <v>0</v>
      </c>
    </row>
    <row r="25" spans="1:29" x14ac:dyDescent="0.2">
      <c r="A25" s="298"/>
      <c r="B25" s="289"/>
      <c r="C25" s="299"/>
      <c r="D25" s="299"/>
      <c r="E25" s="299"/>
      <c r="F25" s="299"/>
      <c r="G25" s="299"/>
      <c r="H25" s="299"/>
      <c r="I25" s="299"/>
      <c r="J25" s="299"/>
      <c r="K25" s="299"/>
      <c r="L25" s="299"/>
      <c r="M25" s="299"/>
      <c r="N25" s="300"/>
      <c r="O25" s="459"/>
      <c r="P25" s="287" t="s">
        <v>394</v>
      </c>
      <c r="Q25" s="459">
        <f>SUM(Q15:Q17)</f>
        <v>0</v>
      </c>
      <c r="R25" s="459">
        <f t="shared" ref="R25:AB25" si="8">SUM(R15:R17)</f>
        <v>0</v>
      </c>
      <c r="S25" s="459">
        <f t="shared" si="8"/>
        <v>0</v>
      </c>
      <c r="T25" s="459">
        <f t="shared" si="8"/>
        <v>0</v>
      </c>
      <c r="U25" s="459">
        <f t="shared" si="8"/>
        <v>0</v>
      </c>
      <c r="V25" s="459">
        <f t="shared" si="8"/>
        <v>0</v>
      </c>
      <c r="W25" s="459">
        <f t="shared" si="8"/>
        <v>0</v>
      </c>
      <c r="X25" s="459">
        <f t="shared" si="8"/>
        <v>0</v>
      </c>
      <c r="Y25" s="459">
        <f t="shared" si="8"/>
        <v>0</v>
      </c>
      <c r="Z25" s="459">
        <f t="shared" si="8"/>
        <v>0</v>
      </c>
      <c r="AA25" s="459">
        <f t="shared" si="8"/>
        <v>0</v>
      </c>
      <c r="AB25" s="459">
        <f t="shared" si="8"/>
        <v>0</v>
      </c>
    </row>
    <row r="26" spans="1:29" x14ac:dyDescent="0.2">
      <c r="A26" s="298"/>
      <c r="B26" s="289"/>
      <c r="C26" s="299"/>
      <c r="D26" s="299"/>
      <c r="E26" s="299"/>
      <c r="F26" s="299"/>
      <c r="G26" s="299"/>
      <c r="H26" s="299"/>
      <c r="I26" s="299"/>
      <c r="J26" s="299"/>
      <c r="K26" s="299"/>
      <c r="L26" s="299"/>
      <c r="M26" s="299"/>
      <c r="N26" s="300"/>
      <c r="O26" s="459"/>
      <c r="P26" s="287"/>
      <c r="Q26" s="459"/>
      <c r="R26" s="459"/>
      <c r="S26" s="459"/>
      <c r="T26" s="459"/>
      <c r="U26" s="459"/>
      <c r="V26" s="459"/>
      <c r="W26" s="459"/>
      <c r="X26" s="459"/>
      <c r="Y26" s="459"/>
      <c r="Z26" s="459"/>
      <c r="AA26" s="459"/>
      <c r="AB26" s="459"/>
    </row>
    <row r="27" spans="1:29" x14ac:dyDescent="0.2">
      <c r="A27" s="298"/>
      <c r="B27" s="289"/>
      <c r="C27" s="299"/>
      <c r="D27" s="299"/>
      <c r="E27" s="299"/>
      <c r="F27" s="299"/>
      <c r="G27" s="299"/>
      <c r="H27" s="299"/>
      <c r="I27" s="299"/>
      <c r="J27" s="299"/>
      <c r="K27" s="299"/>
      <c r="L27" s="299"/>
      <c r="M27" s="299"/>
      <c r="N27" s="300"/>
      <c r="O27" s="459"/>
      <c r="P27" s="287"/>
      <c r="Q27" s="459"/>
      <c r="R27" s="459"/>
      <c r="S27" s="459"/>
      <c r="T27" s="459"/>
      <c r="U27" s="459"/>
      <c r="V27" s="459"/>
      <c r="W27" s="459"/>
      <c r="X27" s="459"/>
      <c r="Y27" s="459"/>
      <c r="Z27" s="459"/>
      <c r="AA27" s="459"/>
      <c r="AB27" s="459"/>
    </row>
    <row r="28" spans="1:29" x14ac:dyDescent="0.2">
      <c r="A28" s="298"/>
      <c r="B28" s="289">
        <v>0</v>
      </c>
      <c r="C28" s="299"/>
      <c r="D28" s="299"/>
      <c r="E28" s="299"/>
      <c r="F28" s="299"/>
      <c r="G28" s="299"/>
      <c r="H28" s="299"/>
      <c r="I28" s="299"/>
      <c r="J28" s="299"/>
      <c r="K28" s="299"/>
      <c r="L28" s="299"/>
      <c r="M28" s="299"/>
      <c r="N28" s="300"/>
      <c r="O28" s="459"/>
      <c r="P28" s="287"/>
      <c r="Q28" s="459"/>
      <c r="R28" s="459"/>
      <c r="S28" s="459"/>
      <c r="T28" s="459"/>
      <c r="U28" s="459"/>
      <c r="V28" s="459"/>
      <c r="W28" s="459"/>
      <c r="X28" s="459"/>
      <c r="Y28" s="459"/>
      <c r="Z28" s="459"/>
      <c r="AA28" s="459"/>
      <c r="AB28" s="459"/>
    </row>
    <row r="29" spans="1:29" x14ac:dyDescent="0.2">
      <c r="A29" s="298"/>
      <c r="B29" s="289"/>
      <c r="C29" s="299"/>
      <c r="D29" s="299"/>
      <c r="E29" s="299"/>
      <c r="F29" s="299"/>
      <c r="G29" s="299"/>
      <c r="H29" s="299"/>
      <c r="I29" s="299"/>
      <c r="J29" s="299"/>
      <c r="K29" s="299"/>
      <c r="L29" s="299"/>
      <c r="M29" s="299"/>
      <c r="N29" s="300"/>
      <c r="O29" s="459"/>
      <c r="P29" s="287"/>
      <c r="Q29" s="459"/>
      <c r="R29" s="459"/>
      <c r="S29" s="459"/>
      <c r="T29" s="459"/>
      <c r="U29" s="459"/>
      <c r="V29" s="459"/>
      <c r="W29" s="459"/>
      <c r="X29" s="459"/>
      <c r="Y29" s="459"/>
      <c r="Z29" s="459"/>
      <c r="AA29" s="459"/>
      <c r="AB29" s="459"/>
    </row>
    <row r="30" spans="1:29" x14ac:dyDescent="0.2">
      <c r="A30" s="298"/>
      <c r="B30" s="289">
        <v>0</v>
      </c>
      <c r="C30" s="299"/>
      <c r="D30" s="299"/>
      <c r="E30" s="299"/>
      <c r="F30" s="299"/>
      <c r="G30" s="299"/>
      <c r="H30" s="299"/>
      <c r="I30" s="299"/>
      <c r="J30" s="299"/>
      <c r="K30" s="299"/>
      <c r="L30" s="299"/>
      <c r="M30" s="299"/>
      <c r="N30" s="300"/>
      <c r="O30" s="459"/>
      <c r="P30" s="287"/>
      <c r="Q30" s="459"/>
      <c r="R30" s="459"/>
      <c r="S30" s="459"/>
      <c r="T30" s="459"/>
      <c r="U30" s="459"/>
      <c r="V30" s="459"/>
      <c r="W30" s="459"/>
      <c r="X30" s="459"/>
      <c r="Y30" s="459"/>
      <c r="Z30" s="459"/>
      <c r="AA30" s="459"/>
      <c r="AB30" s="459"/>
    </row>
    <row r="31" spans="1:29" x14ac:dyDescent="0.2">
      <c r="A31" s="298"/>
      <c r="B31" s="289"/>
      <c r="C31" s="299"/>
      <c r="D31" s="299"/>
      <c r="E31" s="299"/>
      <c r="F31" s="299"/>
      <c r="G31" s="299"/>
      <c r="H31" s="299"/>
      <c r="I31" s="299"/>
      <c r="J31" s="299"/>
      <c r="K31" s="299"/>
      <c r="L31" s="299"/>
      <c r="M31" s="299"/>
      <c r="N31" s="300"/>
      <c r="O31" s="459"/>
      <c r="P31" s="287"/>
      <c r="Q31" s="459"/>
      <c r="R31" s="459"/>
      <c r="S31" s="459"/>
      <c r="T31" s="459"/>
      <c r="U31" s="459"/>
      <c r="V31" s="459"/>
      <c r="W31" s="459"/>
      <c r="X31" s="459"/>
      <c r="Y31" s="459"/>
      <c r="Z31" s="459"/>
      <c r="AA31" s="459"/>
      <c r="AB31" s="459"/>
    </row>
    <row r="32" spans="1:29" x14ac:dyDescent="0.2">
      <c r="A32" s="298"/>
      <c r="B32" s="289"/>
      <c r="C32" s="299"/>
      <c r="D32" s="299"/>
      <c r="E32" s="299"/>
      <c r="F32" s="299"/>
      <c r="G32" s="299"/>
      <c r="H32" s="299"/>
      <c r="I32" s="299"/>
      <c r="J32" s="299"/>
      <c r="K32" s="299"/>
      <c r="L32" s="299"/>
      <c r="M32" s="299"/>
      <c r="N32" s="300"/>
      <c r="O32" s="459"/>
      <c r="P32" s="287"/>
      <c r="Q32" s="459"/>
      <c r="R32" s="459"/>
      <c r="S32" s="459"/>
      <c r="T32" s="459"/>
      <c r="U32" s="459"/>
      <c r="V32" s="459"/>
      <c r="W32" s="459"/>
      <c r="X32" s="459"/>
      <c r="Y32" s="459"/>
      <c r="Z32" s="459"/>
      <c r="AA32" s="459"/>
      <c r="AB32" s="459"/>
    </row>
    <row r="33" spans="1:28" x14ac:dyDescent="0.2">
      <c r="A33" s="298"/>
      <c r="B33" s="289"/>
      <c r="C33" s="299"/>
      <c r="D33" s="299"/>
      <c r="E33" s="299"/>
      <c r="F33" s="299"/>
      <c r="G33" s="299"/>
      <c r="H33" s="299"/>
      <c r="I33" s="299"/>
      <c r="J33" s="299"/>
      <c r="K33" s="299"/>
      <c r="L33" s="299"/>
      <c r="M33" s="299"/>
      <c r="N33" s="300"/>
      <c r="O33" s="459"/>
      <c r="P33" s="287"/>
      <c r="Q33" s="459"/>
      <c r="R33" s="459"/>
      <c r="S33" s="459"/>
      <c r="T33" s="459"/>
      <c r="U33" s="459"/>
      <c r="V33" s="459"/>
      <c r="W33" s="459"/>
      <c r="X33" s="459"/>
      <c r="Y33" s="459"/>
      <c r="Z33" s="459"/>
      <c r="AA33" s="459"/>
      <c r="AB33" s="459"/>
    </row>
    <row r="34" spans="1:28" x14ac:dyDescent="0.2">
      <c r="A34" s="298"/>
      <c r="B34" s="289"/>
      <c r="C34" s="299"/>
      <c r="D34" s="299"/>
      <c r="E34" s="299"/>
      <c r="F34" s="299"/>
      <c r="G34" s="299"/>
      <c r="H34" s="299"/>
      <c r="I34" s="299"/>
      <c r="J34" s="299"/>
      <c r="K34" s="299"/>
      <c r="L34" s="299"/>
      <c r="M34" s="299"/>
      <c r="N34" s="300"/>
      <c r="O34" s="459"/>
      <c r="P34" s="287"/>
      <c r="Q34" s="459"/>
      <c r="R34" s="459"/>
      <c r="S34" s="459"/>
      <c r="T34" s="459"/>
      <c r="U34" s="459"/>
      <c r="V34" s="459"/>
      <c r="W34" s="459"/>
      <c r="X34" s="459"/>
      <c r="Y34" s="459"/>
      <c r="Z34" s="459"/>
      <c r="AA34" s="459"/>
      <c r="AB34" s="459"/>
    </row>
    <row r="35" spans="1:28" x14ac:dyDescent="0.2">
      <c r="A35" s="298"/>
      <c r="B35" s="289"/>
      <c r="C35" s="299"/>
      <c r="D35" s="299"/>
      <c r="E35" s="299"/>
      <c r="F35" s="299"/>
      <c r="G35" s="299"/>
      <c r="H35" s="299"/>
      <c r="I35" s="299"/>
      <c r="J35" s="299"/>
      <c r="K35" s="299"/>
      <c r="L35" s="299"/>
      <c r="M35" s="299"/>
      <c r="N35" s="300"/>
      <c r="O35" s="459"/>
      <c r="P35" s="287"/>
      <c r="Q35" s="459"/>
      <c r="R35" s="459"/>
      <c r="S35" s="459"/>
      <c r="T35" s="459"/>
      <c r="U35" s="459"/>
      <c r="V35" s="459"/>
      <c r="W35" s="459"/>
      <c r="X35" s="459"/>
      <c r="Y35" s="459"/>
      <c r="Z35" s="459"/>
      <c r="AA35" s="459"/>
      <c r="AB35" s="459"/>
    </row>
    <row r="36" spans="1:28" x14ac:dyDescent="0.2">
      <c r="A36" s="298"/>
      <c r="B36" s="289"/>
      <c r="C36" s="299"/>
      <c r="D36" s="299"/>
      <c r="E36" s="299"/>
      <c r="F36" s="299"/>
      <c r="G36" s="299"/>
      <c r="H36" s="299"/>
      <c r="I36" s="299"/>
      <c r="J36" s="299"/>
      <c r="K36" s="299"/>
      <c r="L36" s="299"/>
      <c r="M36" s="299"/>
      <c r="N36" s="300"/>
      <c r="O36" s="459"/>
      <c r="P36" s="287"/>
      <c r="Q36" s="459"/>
      <c r="R36" s="459"/>
      <c r="S36" s="459"/>
      <c r="T36" s="459"/>
      <c r="U36" s="459"/>
      <c r="V36" s="459"/>
      <c r="W36" s="459"/>
      <c r="X36" s="459"/>
      <c r="Y36" s="459"/>
      <c r="Z36" s="459"/>
      <c r="AA36" s="459"/>
      <c r="AB36" s="459"/>
    </row>
    <row r="37" spans="1:28" x14ac:dyDescent="0.2">
      <c r="A37" s="298"/>
      <c r="B37" s="289"/>
      <c r="C37" s="299"/>
      <c r="D37" s="299"/>
      <c r="E37" s="299"/>
      <c r="F37" s="299"/>
      <c r="G37" s="299"/>
      <c r="H37" s="299"/>
      <c r="I37" s="299"/>
      <c r="J37" s="299"/>
      <c r="K37" s="299"/>
      <c r="L37" s="299"/>
      <c r="M37" s="299"/>
      <c r="N37" s="300"/>
      <c r="O37" s="459"/>
      <c r="P37" s="287"/>
      <c r="Q37" s="459"/>
      <c r="R37" s="459"/>
      <c r="S37" s="459"/>
      <c r="T37" s="459"/>
      <c r="U37" s="459"/>
      <c r="V37" s="459"/>
      <c r="W37" s="459"/>
      <c r="X37" s="459"/>
      <c r="Y37" s="459"/>
      <c r="Z37" s="459"/>
      <c r="AA37" s="459"/>
      <c r="AB37" s="459"/>
    </row>
    <row r="38" spans="1:28" x14ac:dyDescent="0.2">
      <c r="A38" s="298"/>
      <c r="B38" s="289"/>
      <c r="C38" s="299"/>
      <c r="D38" s="299"/>
      <c r="E38" s="299"/>
      <c r="F38" s="299"/>
      <c r="G38" s="299"/>
      <c r="H38" s="299"/>
      <c r="I38" s="299"/>
      <c r="J38" s="299"/>
      <c r="K38" s="299"/>
      <c r="L38" s="299"/>
      <c r="M38" s="299"/>
      <c r="N38" s="300"/>
      <c r="O38" s="459"/>
      <c r="P38" s="287"/>
      <c r="Q38" s="459"/>
      <c r="R38" s="459"/>
      <c r="S38" s="459"/>
      <c r="T38" s="459"/>
      <c r="U38" s="459"/>
      <c r="V38" s="459"/>
      <c r="W38" s="459"/>
      <c r="X38" s="459"/>
      <c r="Y38" s="459"/>
      <c r="Z38" s="459"/>
      <c r="AA38" s="459"/>
      <c r="AB38" s="459"/>
    </row>
    <row r="39" spans="1:28" x14ac:dyDescent="0.2">
      <c r="A39" s="298"/>
      <c r="B39" s="289"/>
      <c r="C39" s="299"/>
      <c r="D39" s="299"/>
      <c r="E39" s="299"/>
      <c r="F39" s="299"/>
      <c r="G39" s="299"/>
      <c r="H39" s="299"/>
      <c r="I39" s="299"/>
      <c r="J39" s="299"/>
      <c r="K39" s="299"/>
      <c r="L39" s="299"/>
      <c r="M39" s="299"/>
      <c r="N39" s="300"/>
      <c r="O39" s="459"/>
      <c r="P39" s="287"/>
      <c r="Q39" s="459"/>
      <c r="R39" s="459"/>
      <c r="S39" s="459"/>
      <c r="T39" s="459"/>
      <c r="U39" s="459"/>
      <c r="V39" s="459"/>
      <c r="W39" s="459"/>
      <c r="X39" s="459"/>
      <c r="Y39" s="459"/>
      <c r="Z39" s="459"/>
      <c r="AA39" s="459"/>
      <c r="AB39" s="459"/>
    </row>
    <row r="40" spans="1:28" x14ac:dyDescent="0.2">
      <c r="A40" s="298"/>
      <c r="B40" s="289"/>
      <c r="C40" s="299"/>
      <c r="D40" s="299"/>
      <c r="E40" s="299"/>
      <c r="F40" s="299"/>
      <c r="G40" s="299"/>
      <c r="H40" s="299"/>
      <c r="I40" s="299"/>
      <c r="J40" s="299"/>
      <c r="K40" s="299"/>
      <c r="L40" s="299"/>
      <c r="M40" s="299"/>
      <c r="N40" s="300"/>
      <c r="O40" s="459"/>
      <c r="P40" s="287"/>
      <c r="Q40" s="459"/>
      <c r="R40" s="459"/>
      <c r="S40" s="459"/>
      <c r="T40" s="459"/>
      <c r="U40" s="459"/>
      <c r="V40" s="459"/>
      <c r="W40" s="459"/>
      <c r="X40" s="459"/>
      <c r="Y40" s="459"/>
      <c r="Z40" s="459"/>
      <c r="AA40" s="459"/>
      <c r="AB40" s="459"/>
    </row>
    <row r="41" spans="1:28" x14ac:dyDescent="0.2">
      <c r="A41" s="298"/>
      <c r="B41" s="289"/>
      <c r="C41" s="299"/>
      <c r="D41" s="299"/>
      <c r="E41" s="299"/>
      <c r="F41" s="299"/>
      <c r="G41" s="299"/>
      <c r="H41" s="299"/>
      <c r="I41" s="299"/>
      <c r="J41" s="299"/>
      <c r="K41" s="299"/>
      <c r="L41" s="299"/>
      <c r="M41" s="299"/>
      <c r="N41" s="300"/>
      <c r="O41" s="459"/>
      <c r="P41" s="287"/>
      <c r="Q41" s="459"/>
      <c r="R41" s="459"/>
      <c r="S41" s="459"/>
      <c r="T41" s="459"/>
      <c r="U41" s="459"/>
      <c r="V41" s="459"/>
      <c r="W41" s="459"/>
      <c r="X41" s="459"/>
      <c r="Y41" s="459"/>
      <c r="Z41" s="459"/>
      <c r="AA41" s="459"/>
      <c r="AB41" s="459"/>
    </row>
    <row r="42" spans="1:28" x14ac:dyDescent="0.2">
      <c r="A42" s="298"/>
      <c r="B42" s="289"/>
      <c r="C42" s="299"/>
      <c r="D42" s="299"/>
      <c r="E42" s="299"/>
      <c r="F42" s="299"/>
      <c r="G42" s="299"/>
      <c r="H42" s="299"/>
      <c r="I42" s="299"/>
      <c r="J42" s="299"/>
      <c r="K42" s="299"/>
      <c r="L42" s="299"/>
      <c r="M42" s="299"/>
      <c r="N42" s="300"/>
      <c r="O42" s="459"/>
      <c r="P42" s="287"/>
      <c r="Q42" s="459"/>
      <c r="R42" s="459"/>
      <c r="S42" s="459"/>
      <c r="T42" s="459"/>
      <c r="U42" s="459"/>
      <c r="V42" s="459"/>
      <c r="W42" s="459"/>
      <c r="X42" s="459"/>
      <c r="Y42" s="459"/>
      <c r="Z42" s="459"/>
      <c r="AA42" s="459"/>
      <c r="AB42" s="459"/>
    </row>
    <row r="43" spans="1:28" x14ac:dyDescent="0.2">
      <c r="A43" s="298"/>
      <c r="B43" s="289"/>
      <c r="C43" s="299"/>
      <c r="D43" s="299"/>
      <c r="E43" s="299"/>
      <c r="F43" s="299"/>
      <c r="G43" s="299"/>
      <c r="H43" s="299"/>
      <c r="I43" s="299"/>
      <c r="J43" s="299"/>
      <c r="K43" s="299"/>
      <c r="L43" s="299"/>
      <c r="M43" s="299"/>
      <c r="N43" s="300"/>
      <c r="O43" s="459"/>
      <c r="P43" s="287"/>
      <c r="Q43" s="459"/>
      <c r="R43" s="459"/>
      <c r="S43" s="459"/>
      <c r="T43" s="459"/>
      <c r="U43" s="459"/>
      <c r="V43" s="459"/>
      <c r="W43" s="459"/>
      <c r="X43" s="459"/>
      <c r="Y43" s="459"/>
      <c r="Z43" s="459"/>
      <c r="AA43" s="459"/>
      <c r="AB43" s="459"/>
    </row>
    <row r="44" spans="1:28" x14ac:dyDescent="0.2">
      <c r="A44" s="298"/>
      <c r="B44" s="289"/>
      <c r="C44" s="299"/>
      <c r="D44" s="299"/>
      <c r="E44" s="299"/>
      <c r="F44" s="299"/>
      <c r="G44" s="299"/>
      <c r="H44" s="299"/>
      <c r="I44" s="299"/>
      <c r="J44" s="299"/>
      <c r="K44" s="299"/>
      <c r="L44" s="299"/>
      <c r="M44" s="299"/>
      <c r="N44" s="300"/>
      <c r="O44" s="459"/>
      <c r="P44" s="287"/>
      <c r="Q44" s="459"/>
      <c r="R44" s="459"/>
      <c r="S44" s="459"/>
      <c r="T44" s="459"/>
      <c r="U44" s="459"/>
      <c r="V44" s="459"/>
      <c r="W44" s="459"/>
      <c r="X44" s="459"/>
      <c r="Y44" s="459"/>
      <c r="Z44" s="459"/>
      <c r="AA44" s="459"/>
      <c r="AB44" s="459"/>
    </row>
    <row r="45" spans="1:28" x14ac:dyDescent="0.2">
      <c r="A45" s="298"/>
      <c r="B45" s="289"/>
      <c r="C45" s="299"/>
      <c r="D45" s="299"/>
      <c r="E45" s="299"/>
      <c r="F45" s="299"/>
      <c r="G45" s="299"/>
      <c r="H45" s="299"/>
      <c r="I45" s="299"/>
      <c r="J45" s="299"/>
      <c r="K45" s="299"/>
      <c r="L45" s="299"/>
      <c r="M45" s="299"/>
      <c r="N45" s="300"/>
      <c r="O45" s="459"/>
      <c r="P45" s="287"/>
      <c r="Q45" s="459"/>
      <c r="R45" s="459"/>
      <c r="S45" s="459"/>
      <c r="T45" s="459"/>
      <c r="U45" s="459"/>
      <c r="V45" s="459"/>
      <c r="W45" s="459"/>
      <c r="X45" s="459"/>
      <c r="Y45" s="459"/>
      <c r="Z45" s="459"/>
      <c r="AA45" s="459"/>
      <c r="AB45" s="459"/>
    </row>
    <row r="46" spans="1:28" x14ac:dyDescent="0.2">
      <c r="A46" s="298"/>
      <c r="B46" s="289"/>
      <c r="C46" s="299"/>
      <c r="D46" s="299"/>
      <c r="E46" s="299"/>
      <c r="F46" s="299"/>
      <c r="G46" s="299"/>
      <c r="H46" s="299"/>
      <c r="I46" s="299"/>
      <c r="J46" s="299"/>
      <c r="K46" s="299"/>
      <c r="L46" s="299"/>
      <c r="M46" s="299"/>
      <c r="N46" s="300"/>
      <c r="O46" s="459"/>
      <c r="P46" s="287"/>
      <c r="Q46" s="459"/>
      <c r="R46" s="459"/>
      <c r="S46" s="459"/>
      <c r="T46" s="459"/>
      <c r="U46" s="459"/>
      <c r="V46" s="459"/>
      <c r="W46" s="459"/>
      <c r="X46" s="459"/>
      <c r="Y46" s="459"/>
      <c r="Z46" s="459"/>
      <c r="AA46" s="459"/>
      <c r="AB46" s="459"/>
    </row>
    <row r="47" spans="1:28" x14ac:dyDescent="0.2">
      <c r="A47" s="298"/>
      <c r="B47" s="289"/>
      <c r="C47" s="299"/>
      <c r="D47" s="299"/>
      <c r="E47" s="299"/>
      <c r="F47" s="299"/>
      <c r="G47" s="299"/>
      <c r="H47" s="299"/>
      <c r="I47" s="299"/>
      <c r="J47" s="299"/>
      <c r="K47" s="299"/>
      <c r="L47" s="299"/>
      <c r="M47" s="299"/>
      <c r="N47" s="300"/>
      <c r="O47" s="459"/>
      <c r="P47" s="287"/>
      <c r="Q47" s="459"/>
      <c r="R47" s="459"/>
      <c r="S47" s="459"/>
      <c r="T47" s="459"/>
      <c r="U47" s="459"/>
      <c r="V47" s="459"/>
      <c r="W47" s="459"/>
      <c r="X47" s="459"/>
      <c r="Y47" s="459"/>
      <c r="Z47" s="459"/>
      <c r="AA47" s="459"/>
      <c r="AB47" s="459"/>
    </row>
    <row r="48" spans="1:28" x14ac:dyDescent="0.2">
      <c r="A48" s="298"/>
      <c r="B48" s="289"/>
      <c r="C48" s="299"/>
      <c r="D48" s="299"/>
      <c r="E48" s="299"/>
      <c r="F48" s="299"/>
      <c r="G48" s="299"/>
      <c r="H48" s="299"/>
      <c r="I48" s="299"/>
      <c r="J48" s="299"/>
      <c r="K48" s="299"/>
      <c r="L48" s="299"/>
      <c r="M48" s="299"/>
      <c r="N48" s="300"/>
      <c r="O48" s="459"/>
      <c r="P48" s="287"/>
      <c r="Q48" s="459"/>
      <c r="R48" s="459"/>
      <c r="S48" s="459"/>
      <c r="T48" s="459"/>
      <c r="U48" s="459"/>
      <c r="V48" s="459"/>
      <c r="W48" s="459"/>
      <c r="X48" s="459"/>
      <c r="Y48" s="459"/>
      <c r="Z48" s="459"/>
      <c r="AA48" s="459"/>
      <c r="AB48" s="459"/>
    </row>
    <row r="49" spans="1:28" x14ac:dyDescent="0.2">
      <c r="A49" s="298"/>
      <c r="B49" s="289"/>
      <c r="C49" s="299"/>
      <c r="D49" s="299"/>
      <c r="E49" s="299"/>
      <c r="F49" s="299"/>
      <c r="G49" s="299"/>
      <c r="H49" s="299"/>
      <c r="I49" s="299"/>
      <c r="J49" s="299"/>
      <c r="K49" s="299"/>
      <c r="L49" s="299"/>
      <c r="M49" s="299"/>
      <c r="N49" s="300"/>
      <c r="O49" s="459"/>
      <c r="P49" s="287"/>
      <c r="Q49" s="459"/>
      <c r="R49" s="459"/>
      <c r="S49" s="459"/>
      <c r="T49" s="459"/>
      <c r="U49" s="459"/>
      <c r="V49" s="459"/>
      <c r="W49" s="459"/>
      <c r="X49" s="459"/>
      <c r="Y49" s="459"/>
      <c r="Z49" s="459"/>
      <c r="AA49" s="459"/>
      <c r="AB49" s="459"/>
    </row>
    <row r="50" spans="1:28" x14ac:dyDescent="0.2">
      <c r="A50" s="298"/>
      <c r="B50" s="289"/>
      <c r="C50" s="299"/>
      <c r="D50" s="299"/>
      <c r="E50" s="299"/>
      <c r="F50" s="299"/>
      <c r="G50" s="299"/>
      <c r="H50" s="299"/>
      <c r="I50" s="299"/>
      <c r="J50" s="299"/>
      <c r="K50" s="299"/>
      <c r="L50" s="299"/>
      <c r="M50" s="299"/>
      <c r="N50" s="300"/>
      <c r="O50" s="459"/>
      <c r="P50" s="287"/>
      <c r="Q50" s="459"/>
      <c r="R50" s="459"/>
      <c r="S50" s="459"/>
      <c r="T50" s="459"/>
      <c r="U50" s="459"/>
      <c r="V50" s="459"/>
      <c r="W50" s="459"/>
      <c r="X50" s="459"/>
      <c r="Y50" s="459"/>
      <c r="Z50" s="459"/>
      <c r="AA50" s="459"/>
      <c r="AB50" s="459"/>
    </row>
    <row r="51" spans="1:28" x14ac:dyDescent="0.2">
      <c r="A51" s="298"/>
      <c r="B51" s="289"/>
      <c r="C51" s="299"/>
      <c r="D51" s="299"/>
      <c r="E51" s="299"/>
      <c r="F51" s="299"/>
      <c r="G51" s="299"/>
      <c r="H51" s="299"/>
      <c r="I51" s="299"/>
      <c r="J51" s="299"/>
      <c r="K51" s="299"/>
      <c r="L51" s="299"/>
      <c r="M51" s="299"/>
      <c r="N51" s="300"/>
      <c r="O51" s="459"/>
      <c r="P51" s="287"/>
      <c r="Q51" s="459"/>
      <c r="R51" s="459"/>
      <c r="S51" s="459"/>
      <c r="T51" s="459"/>
      <c r="U51" s="459"/>
      <c r="V51" s="459"/>
      <c r="W51" s="459"/>
      <c r="X51" s="459"/>
      <c r="Y51" s="459"/>
      <c r="Z51" s="459"/>
      <c r="AA51" s="459"/>
      <c r="AB51" s="459"/>
    </row>
    <row r="52" spans="1:28" x14ac:dyDescent="0.2">
      <c r="A52" s="298"/>
      <c r="B52" s="289"/>
      <c r="C52" s="299"/>
      <c r="D52" s="299"/>
      <c r="E52" s="299"/>
      <c r="F52" s="299"/>
      <c r="G52" s="299"/>
      <c r="H52" s="299"/>
      <c r="I52" s="299"/>
      <c r="J52" s="299"/>
      <c r="K52" s="299"/>
      <c r="L52" s="299"/>
      <c r="M52" s="299"/>
      <c r="N52" s="300"/>
      <c r="O52" s="459"/>
      <c r="P52" s="287"/>
      <c r="Q52" s="459"/>
      <c r="R52" s="459"/>
      <c r="S52" s="459"/>
      <c r="T52" s="459"/>
      <c r="U52" s="459"/>
      <c r="V52" s="459"/>
      <c r="W52" s="459"/>
      <c r="X52" s="459"/>
      <c r="Y52" s="459"/>
      <c r="Z52" s="459"/>
      <c r="AA52" s="459"/>
      <c r="AB52" s="459"/>
    </row>
    <row r="53" spans="1:28" x14ac:dyDescent="0.2">
      <c r="A53" s="298"/>
      <c r="B53" s="289"/>
      <c r="C53" s="299"/>
      <c r="D53" s="299"/>
      <c r="E53" s="299"/>
      <c r="F53" s="299"/>
      <c r="G53" s="299"/>
      <c r="H53" s="299"/>
      <c r="I53" s="299"/>
      <c r="J53" s="299"/>
      <c r="K53" s="299"/>
      <c r="L53" s="299"/>
      <c r="M53" s="299"/>
      <c r="N53" s="300"/>
      <c r="O53" s="459"/>
      <c r="P53" s="287"/>
      <c r="Q53" s="459"/>
      <c r="R53" s="459"/>
      <c r="S53" s="459"/>
      <c r="T53" s="459"/>
      <c r="U53" s="459"/>
      <c r="V53" s="459"/>
      <c r="W53" s="459"/>
      <c r="X53" s="459"/>
      <c r="Y53" s="459"/>
      <c r="Z53" s="459"/>
      <c r="AA53" s="459"/>
      <c r="AB53" s="459"/>
    </row>
    <row r="54" spans="1:28" x14ac:dyDescent="0.2">
      <c r="A54" s="298"/>
      <c r="B54" s="289"/>
      <c r="C54" s="299"/>
      <c r="D54" s="299"/>
      <c r="E54" s="299"/>
      <c r="F54" s="299"/>
      <c r="G54" s="299"/>
      <c r="H54" s="299"/>
      <c r="I54" s="299"/>
      <c r="J54" s="299"/>
      <c r="K54" s="299"/>
      <c r="L54" s="299"/>
      <c r="M54" s="299"/>
      <c r="N54" s="300"/>
      <c r="O54" s="459"/>
      <c r="P54" s="287"/>
      <c r="Q54" s="459"/>
      <c r="R54" s="459"/>
      <c r="S54" s="459"/>
      <c r="T54" s="459"/>
      <c r="U54" s="459"/>
      <c r="V54" s="459"/>
      <c r="W54" s="459"/>
      <c r="X54" s="459"/>
      <c r="Y54" s="459"/>
      <c r="Z54" s="459"/>
      <c r="AA54" s="459"/>
      <c r="AB54" s="459"/>
    </row>
    <row r="55" spans="1:28" x14ac:dyDescent="0.2">
      <c r="A55" s="298"/>
      <c r="B55" s="289"/>
      <c r="C55" s="299"/>
      <c r="D55" s="299"/>
      <c r="E55" s="299"/>
      <c r="F55" s="299"/>
      <c r="G55" s="299"/>
      <c r="H55" s="299"/>
      <c r="I55" s="299"/>
      <c r="J55" s="299"/>
      <c r="K55" s="299"/>
      <c r="L55" s="299"/>
      <c r="M55" s="299"/>
      <c r="N55" s="300"/>
      <c r="O55" s="459"/>
      <c r="P55" s="287"/>
      <c r="Q55" s="459"/>
      <c r="R55" s="459"/>
      <c r="S55" s="459"/>
      <c r="T55" s="459"/>
      <c r="U55" s="459"/>
      <c r="V55" s="459"/>
      <c r="W55" s="459"/>
      <c r="X55" s="459"/>
      <c r="Y55" s="459"/>
      <c r="Z55" s="459"/>
      <c r="AA55" s="459"/>
      <c r="AB55" s="459"/>
    </row>
    <row r="56" spans="1:28" x14ac:dyDescent="0.2">
      <c r="A56" s="298"/>
      <c r="B56" s="289"/>
      <c r="C56" s="299"/>
      <c r="D56" s="299"/>
      <c r="E56" s="299"/>
      <c r="F56" s="299"/>
      <c r="G56" s="299"/>
      <c r="H56" s="299"/>
      <c r="I56" s="299"/>
      <c r="J56" s="299"/>
      <c r="K56" s="299"/>
      <c r="L56" s="299"/>
      <c r="M56" s="299"/>
      <c r="N56" s="300"/>
      <c r="O56" s="459"/>
      <c r="P56" s="287"/>
      <c r="Q56" s="459"/>
      <c r="R56" s="459"/>
      <c r="S56" s="459"/>
      <c r="T56" s="459"/>
      <c r="U56" s="459"/>
      <c r="V56" s="459"/>
      <c r="W56" s="459"/>
      <c r="X56" s="459"/>
      <c r="Y56" s="459"/>
      <c r="Z56" s="459"/>
      <c r="AA56" s="459"/>
      <c r="AB56" s="459"/>
    </row>
    <row r="57" spans="1:28" x14ac:dyDescent="0.2">
      <c r="A57" s="298"/>
      <c r="B57" s="289"/>
      <c r="C57" s="299"/>
      <c r="D57" s="299"/>
      <c r="E57" s="299"/>
      <c r="F57" s="299"/>
      <c r="G57" s="299"/>
      <c r="H57" s="299"/>
      <c r="I57" s="299"/>
      <c r="J57" s="299"/>
      <c r="K57" s="299"/>
      <c r="L57" s="299"/>
      <c r="M57" s="299"/>
      <c r="N57" s="300"/>
      <c r="O57" s="459"/>
      <c r="P57" s="287"/>
      <c r="Q57" s="459"/>
      <c r="R57" s="459"/>
      <c r="S57" s="459"/>
      <c r="T57" s="459"/>
      <c r="U57" s="459"/>
      <c r="V57" s="459"/>
      <c r="W57" s="459"/>
      <c r="X57" s="459"/>
      <c r="Y57" s="459"/>
      <c r="Z57" s="459"/>
      <c r="AA57" s="459"/>
      <c r="AB57" s="459"/>
    </row>
    <row r="58" spans="1:28" x14ac:dyDescent="0.2">
      <c r="A58" s="298"/>
      <c r="B58" s="289"/>
      <c r="C58" s="299"/>
      <c r="D58" s="299"/>
      <c r="E58" s="299"/>
      <c r="F58" s="299"/>
      <c r="G58" s="299"/>
      <c r="H58" s="299"/>
      <c r="I58" s="299"/>
      <c r="J58" s="299"/>
      <c r="K58" s="299"/>
      <c r="L58" s="299"/>
      <c r="M58" s="299"/>
      <c r="N58" s="300"/>
      <c r="O58" s="459"/>
      <c r="P58" s="287"/>
      <c r="Q58" s="459"/>
      <c r="R58" s="459"/>
      <c r="S58" s="459"/>
      <c r="T58" s="459"/>
      <c r="U58" s="459"/>
      <c r="V58" s="459"/>
      <c r="W58" s="459"/>
      <c r="X58" s="459"/>
      <c r="Y58" s="459"/>
      <c r="Z58" s="459"/>
      <c r="AA58" s="459"/>
      <c r="AB58" s="459"/>
    </row>
    <row r="59" spans="1:28" x14ac:dyDescent="0.2">
      <c r="A59" s="298"/>
      <c r="B59" s="289"/>
      <c r="C59" s="299"/>
      <c r="D59" s="299"/>
      <c r="E59" s="299"/>
      <c r="F59" s="299"/>
      <c r="G59" s="299"/>
      <c r="H59" s="299"/>
      <c r="I59" s="299"/>
      <c r="J59" s="299"/>
      <c r="K59" s="299"/>
      <c r="L59" s="299"/>
      <c r="M59" s="299"/>
      <c r="N59" s="300"/>
      <c r="O59" s="459"/>
      <c r="P59" s="287"/>
      <c r="Q59" s="459"/>
      <c r="R59" s="459"/>
      <c r="S59" s="459"/>
      <c r="T59" s="459"/>
      <c r="U59" s="459"/>
      <c r="V59" s="459"/>
      <c r="W59" s="459"/>
      <c r="X59" s="459"/>
      <c r="Y59" s="459"/>
      <c r="Z59" s="459"/>
      <c r="AA59" s="459"/>
      <c r="AB59" s="459"/>
    </row>
    <row r="60" spans="1:28" x14ac:dyDescent="0.2">
      <c r="A60" s="298"/>
      <c r="B60" s="289"/>
      <c r="C60" s="299"/>
      <c r="D60" s="299"/>
      <c r="E60" s="299"/>
      <c r="F60" s="299"/>
      <c r="G60" s="299"/>
      <c r="H60" s="299"/>
      <c r="I60" s="299"/>
      <c r="J60" s="299"/>
      <c r="K60" s="299"/>
      <c r="L60" s="299"/>
      <c r="M60" s="299"/>
      <c r="N60" s="300"/>
      <c r="O60" s="459"/>
      <c r="P60" s="287"/>
      <c r="Q60" s="459"/>
      <c r="R60" s="459"/>
      <c r="S60" s="459"/>
      <c r="T60" s="459"/>
      <c r="U60" s="459"/>
      <c r="V60" s="459"/>
      <c r="W60" s="459"/>
      <c r="X60" s="459"/>
      <c r="Y60" s="459"/>
      <c r="Z60" s="459"/>
      <c r="AA60" s="459"/>
      <c r="AB60" s="459"/>
    </row>
    <row r="61" spans="1:28" x14ac:dyDescent="0.2">
      <c r="A61" s="298"/>
      <c r="B61" s="289"/>
      <c r="C61" s="299"/>
      <c r="D61" s="299"/>
      <c r="E61" s="299"/>
      <c r="F61" s="299"/>
      <c r="G61" s="299"/>
      <c r="H61" s="299"/>
      <c r="I61" s="299"/>
      <c r="J61" s="299"/>
      <c r="K61" s="299"/>
      <c r="L61" s="299"/>
      <c r="M61" s="299"/>
      <c r="N61" s="300"/>
      <c r="O61" s="459"/>
      <c r="P61" s="287"/>
      <c r="Q61" s="459"/>
      <c r="R61" s="459"/>
      <c r="S61" s="459"/>
      <c r="T61" s="459"/>
      <c r="U61" s="459"/>
      <c r="V61" s="459"/>
      <c r="W61" s="459"/>
      <c r="X61" s="459"/>
      <c r="Y61" s="459"/>
      <c r="Z61" s="459"/>
      <c r="AA61" s="459"/>
      <c r="AB61" s="459"/>
    </row>
    <row r="62" spans="1:28" x14ac:dyDescent="0.2">
      <c r="A62" s="298"/>
      <c r="B62" s="289"/>
      <c r="C62" s="299"/>
      <c r="D62" s="299"/>
      <c r="E62" s="299"/>
      <c r="F62" s="299"/>
      <c r="G62" s="299"/>
      <c r="H62" s="299"/>
      <c r="I62" s="299"/>
      <c r="J62" s="299"/>
      <c r="K62" s="299"/>
      <c r="L62" s="299"/>
      <c r="M62" s="299"/>
      <c r="N62" s="300"/>
      <c r="O62" s="459"/>
      <c r="P62" s="287"/>
      <c r="Q62" s="459"/>
      <c r="R62" s="459"/>
      <c r="S62" s="459"/>
      <c r="T62" s="459"/>
      <c r="U62" s="459"/>
      <c r="V62" s="459"/>
      <c r="W62" s="459"/>
      <c r="X62" s="459"/>
      <c r="Y62" s="459"/>
      <c r="Z62" s="459"/>
      <c r="AA62" s="459"/>
      <c r="AB62" s="459"/>
    </row>
    <row r="63" spans="1:28" x14ac:dyDescent="0.2">
      <c r="A63" s="298"/>
      <c r="B63" s="289"/>
      <c r="C63" s="299"/>
      <c r="D63" s="299"/>
      <c r="E63" s="299"/>
      <c r="F63" s="299"/>
      <c r="G63" s="299"/>
      <c r="H63" s="299"/>
      <c r="I63" s="299"/>
      <c r="J63" s="299"/>
      <c r="K63" s="299"/>
      <c r="L63" s="299"/>
      <c r="M63" s="299"/>
      <c r="N63" s="300"/>
      <c r="O63" s="459"/>
      <c r="P63" s="287"/>
      <c r="Q63" s="459"/>
      <c r="R63" s="459"/>
      <c r="S63" s="459"/>
      <c r="T63" s="459"/>
      <c r="U63" s="459"/>
      <c r="V63" s="459"/>
      <c r="W63" s="459"/>
      <c r="X63" s="459"/>
      <c r="Y63" s="459"/>
      <c r="Z63" s="459"/>
      <c r="AA63" s="459"/>
      <c r="AB63" s="459"/>
    </row>
    <row r="64" spans="1:28" x14ac:dyDescent="0.2">
      <c r="A64" s="298"/>
      <c r="B64" s="289"/>
      <c r="C64" s="299"/>
      <c r="D64" s="299"/>
      <c r="E64" s="299"/>
      <c r="F64" s="299"/>
      <c r="G64" s="299"/>
      <c r="H64" s="299"/>
      <c r="I64" s="299"/>
      <c r="J64" s="299"/>
      <c r="K64" s="299"/>
      <c r="L64" s="299"/>
      <c r="M64" s="299"/>
      <c r="N64" s="300"/>
      <c r="O64" s="459"/>
      <c r="P64" s="287"/>
      <c r="Q64" s="459"/>
      <c r="R64" s="459"/>
      <c r="S64" s="459"/>
      <c r="T64" s="459"/>
      <c r="U64" s="459"/>
      <c r="V64" s="459"/>
      <c r="W64" s="459"/>
      <c r="X64" s="459"/>
      <c r="Y64" s="459"/>
      <c r="Z64" s="459"/>
      <c r="AA64" s="459"/>
      <c r="AB64" s="459"/>
    </row>
    <row r="65" spans="1:28" x14ac:dyDescent="0.2">
      <c r="A65" s="298"/>
      <c r="B65" s="289"/>
      <c r="C65" s="299"/>
      <c r="D65" s="299"/>
      <c r="E65" s="299"/>
      <c r="F65" s="299"/>
      <c r="G65" s="299"/>
      <c r="H65" s="299"/>
      <c r="I65" s="299"/>
      <c r="J65" s="299"/>
      <c r="K65" s="299"/>
      <c r="L65" s="299"/>
      <c r="M65" s="299"/>
      <c r="N65" s="300"/>
      <c r="O65" s="459"/>
      <c r="P65" s="287"/>
      <c r="Q65" s="459"/>
      <c r="R65" s="459"/>
      <c r="S65" s="459"/>
      <c r="T65" s="459"/>
      <c r="U65" s="459"/>
      <c r="V65" s="459"/>
      <c r="W65" s="459"/>
      <c r="X65" s="459"/>
      <c r="Y65" s="459"/>
      <c r="Z65" s="459"/>
      <c r="AA65" s="459"/>
      <c r="AB65" s="459"/>
    </row>
    <row r="66" spans="1:28" x14ac:dyDescent="0.2">
      <c r="A66" s="298"/>
      <c r="B66" s="289"/>
      <c r="C66" s="299"/>
      <c r="D66" s="299"/>
      <c r="E66" s="299"/>
      <c r="F66" s="299"/>
      <c r="G66" s="299"/>
      <c r="H66" s="299"/>
      <c r="I66" s="299"/>
      <c r="J66" s="299"/>
      <c r="K66" s="299"/>
      <c r="L66" s="299"/>
      <c r="M66" s="299"/>
      <c r="N66" s="300"/>
      <c r="O66" s="459"/>
      <c r="P66" s="287"/>
      <c r="Q66" s="459"/>
      <c r="R66" s="459"/>
      <c r="S66" s="459"/>
      <c r="T66" s="459"/>
      <c r="U66" s="459"/>
      <c r="V66" s="459"/>
      <c r="W66" s="459"/>
      <c r="X66" s="459"/>
      <c r="Y66" s="459"/>
      <c r="Z66" s="459"/>
      <c r="AA66" s="459"/>
      <c r="AB66" s="459"/>
    </row>
    <row r="67" spans="1:28" x14ac:dyDescent="0.2">
      <c r="A67" s="298"/>
      <c r="B67" s="289"/>
      <c r="C67" s="299"/>
      <c r="D67" s="299"/>
      <c r="E67" s="299"/>
      <c r="F67" s="299"/>
      <c r="G67" s="299"/>
      <c r="H67" s="299"/>
      <c r="I67" s="299"/>
      <c r="J67" s="299"/>
      <c r="K67" s="299"/>
      <c r="L67" s="299"/>
      <c r="M67" s="299"/>
      <c r="N67" s="300"/>
      <c r="O67" s="459"/>
      <c r="P67" s="287"/>
      <c r="Q67" s="459"/>
      <c r="R67" s="459"/>
      <c r="S67" s="459"/>
      <c r="T67" s="459"/>
      <c r="U67" s="459"/>
      <c r="V67" s="459"/>
      <c r="W67" s="459"/>
      <c r="X67" s="459"/>
      <c r="Y67" s="459"/>
      <c r="Z67" s="459"/>
      <c r="AA67" s="459"/>
      <c r="AB67" s="459"/>
    </row>
    <row r="68" spans="1:28" x14ac:dyDescent="0.2">
      <c r="A68" s="298"/>
      <c r="B68" s="289"/>
      <c r="C68" s="299"/>
      <c r="D68" s="299"/>
      <c r="E68" s="299"/>
      <c r="F68" s="299"/>
      <c r="G68" s="299"/>
      <c r="H68" s="299"/>
      <c r="I68" s="299"/>
      <c r="J68" s="299"/>
      <c r="K68" s="299"/>
      <c r="L68" s="299"/>
      <c r="M68" s="299"/>
      <c r="N68" s="300"/>
      <c r="O68" s="459"/>
      <c r="P68" s="287"/>
      <c r="Q68" s="459"/>
      <c r="R68" s="459"/>
      <c r="S68" s="459"/>
      <c r="T68" s="459"/>
      <c r="U68" s="459"/>
      <c r="V68" s="459"/>
      <c r="W68" s="459"/>
      <c r="X68" s="459"/>
      <c r="Y68" s="459"/>
      <c r="Z68" s="459"/>
      <c r="AA68" s="459"/>
      <c r="AB68" s="459"/>
    </row>
    <row r="69" spans="1:28" x14ac:dyDescent="0.2">
      <c r="A69" s="298"/>
      <c r="B69" s="289"/>
      <c r="C69" s="299"/>
      <c r="D69" s="299"/>
      <c r="E69" s="299"/>
      <c r="F69" s="299"/>
      <c r="G69" s="299"/>
      <c r="H69" s="299"/>
      <c r="I69" s="299"/>
      <c r="J69" s="299"/>
      <c r="K69" s="299"/>
      <c r="L69" s="299"/>
      <c r="M69" s="299"/>
      <c r="N69" s="300"/>
      <c r="O69" s="459"/>
      <c r="P69" s="287"/>
      <c r="Q69" s="459"/>
      <c r="R69" s="459"/>
      <c r="S69" s="459"/>
      <c r="T69" s="459"/>
      <c r="U69" s="459"/>
      <c r="V69" s="459"/>
      <c r="W69" s="459"/>
      <c r="X69" s="459"/>
      <c r="Y69" s="459"/>
      <c r="Z69" s="459"/>
      <c r="AA69" s="459"/>
      <c r="AB69" s="459"/>
    </row>
    <row r="70" spans="1:28" x14ac:dyDescent="0.2">
      <c r="A70" s="298"/>
      <c r="B70" s="289"/>
      <c r="C70" s="299"/>
      <c r="D70" s="299"/>
      <c r="E70" s="299"/>
      <c r="F70" s="299"/>
      <c r="G70" s="299"/>
      <c r="H70" s="299"/>
      <c r="I70" s="299"/>
      <c r="J70" s="299"/>
      <c r="K70" s="299"/>
      <c r="L70" s="299"/>
      <c r="M70" s="299"/>
      <c r="N70" s="300"/>
      <c r="O70" s="459"/>
      <c r="P70" s="287"/>
      <c r="Q70" s="459"/>
      <c r="R70" s="459"/>
      <c r="S70" s="459"/>
      <c r="T70" s="459"/>
      <c r="U70" s="459"/>
      <c r="V70" s="459"/>
      <c r="W70" s="459"/>
      <c r="X70" s="459"/>
      <c r="Y70" s="459"/>
      <c r="Z70" s="459"/>
      <c r="AA70" s="459"/>
      <c r="AB70" s="459"/>
    </row>
    <row r="71" spans="1:28" x14ac:dyDescent="0.2">
      <c r="A71" s="298"/>
      <c r="B71" s="289"/>
      <c r="C71" s="299"/>
      <c r="D71" s="299"/>
      <c r="E71" s="299"/>
      <c r="F71" s="299"/>
      <c r="G71" s="299"/>
      <c r="H71" s="299"/>
      <c r="I71" s="299"/>
      <c r="J71" s="299"/>
      <c r="K71" s="299"/>
      <c r="L71" s="299"/>
      <c r="M71" s="299"/>
      <c r="N71" s="300"/>
      <c r="O71" s="459"/>
      <c r="P71" s="287"/>
      <c r="Q71" s="459"/>
      <c r="R71" s="459"/>
      <c r="S71" s="459"/>
      <c r="T71" s="459"/>
      <c r="U71" s="459"/>
      <c r="V71" s="459"/>
      <c r="W71" s="459"/>
      <c r="X71" s="459"/>
      <c r="Y71" s="459"/>
      <c r="Z71" s="459"/>
      <c r="AA71" s="459"/>
      <c r="AB71" s="459"/>
    </row>
    <row r="72" spans="1:28" x14ac:dyDescent="0.2">
      <c r="A72" s="298"/>
      <c r="B72" s="289"/>
      <c r="C72" s="299"/>
      <c r="D72" s="299"/>
      <c r="E72" s="299"/>
      <c r="F72" s="299"/>
      <c r="G72" s="299"/>
      <c r="H72" s="299"/>
      <c r="I72" s="299"/>
      <c r="J72" s="299"/>
      <c r="K72" s="299"/>
      <c r="L72" s="299"/>
      <c r="M72" s="299"/>
      <c r="N72" s="300"/>
      <c r="O72" s="459"/>
      <c r="P72" s="287"/>
      <c r="Q72" s="459"/>
      <c r="R72" s="459"/>
      <c r="S72" s="459"/>
      <c r="T72" s="459"/>
      <c r="U72" s="459"/>
      <c r="V72" s="459"/>
      <c r="W72" s="459"/>
      <c r="X72" s="459"/>
      <c r="Y72" s="459"/>
      <c r="Z72" s="459"/>
      <c r="AA72" s="459"/>
      <c r="AB72" s="459"/>
    </row>
    <row r="73" spans="1:28" x14ac:dyDescent="0.2">
      <c r="A73" s="298"/>
      <c r="B73" s="289"/>
      <c r="C73" s="299"/>
      <c r="D73" s="299"/>
      <c r="E73" s="299"/>
      <c r="F73" s="299"/>
      <c r="G73" s="299"/>
      <c r="H73" s="299"/>
      <c r="I73" s="299"/>
      <c r="J73" s="299"/>
      <c r="K73" s="299"/>
      <c r="L73" s="299"/>
      <c r="M73" s="299"/>
      <c r="N73" s="300"/>
      <c r="O73" s="459"/>
      <c r="P73" s="287"/>
      <c r="Q73" s="459"/>
      <c r="R73" s="459"/>
      <c r="S73" s="459"/>
      <c r="T73" s="459"/>
      <c r="U73" s="459"/>
      <c r="V73" s="459"/>
      <c r="W73" s="459"/>
      <c r="X73" s="459"/>
      <c r="Y73" s="459"/>
      <c r="Z73" s="459"/>
      <c r="AA73" s="459"/>
      <c r="AB73" s="459"/>
    </row>
    <row r="74" spans="1:28" x14ac:dyDescent="0.2">
      <c r="A74" s="298"/>
      <c r="B74" s="289"/>
      <c r="C74" s="299"/>
      <c r="D74" s="299"/>
      <c r="E74" s="299"/>
      <c r="F74" s="299"/>
      <c r="G74" s="299"/>
      <c r="H74" s="299"/>
      <c r="I74" s="299"/>
      <c r="J74" s="299"/>
      <c r="K74" s="299"/>
      <c r="L74" s="299"/>
      <c r="M74" s="299"/>
      <c r="N74" s="300"/>
      <c r="O74" s="459"/>
      <c r="P74" s="287"/>
      <c r="Q74" s="459"/>
      <c r="R74" s="459"/>
      <c r="S74" s="459"/>
      <c r="T74" s="459"/>
      <c r="U74" s="459"/>
      <c r="V74" s="459"/>
      <c r="W74" s="459"/>
      <c r="X74" s="459"/>
      <c r="Y74" s="459"/>
      <c r="Z74" s="459"/>
      <c r="AA74" s="459"/>
      <c r="AB74" s="459"/>
    </row>
    <row r="75" spans="1:28" x14ac:dyDescent="0.2">
      <c r="A75" s="298"/>
      <c r="B75" s="289"/>
      <c r="C75" s="299"/>
      <c r="D75" s="299"/>
      <c r="E75" s="299"/>
      <c r="F75" s="299"/>
      <c r="G75" s="299"/>
      <c r="H75" s="299"/>
      <c r="I75" s="299"/>
      <c r="J75" s="299"/>
      <c r="K75" s="299"/>
      <c r="L75" s="299"/>
      <c r="M75" s="299"/>
      <c r="N75" s="300"/>
      <c r="O75" s="459"/>
      <c r="P75" s="287"/>
      <c r="Q75" s="459"/>
      <c r="R75" s="459"/>
      <c r="S75" s="459"/>
      <c r="T75" s="459"/>
      <c r="U75" s="459"/>
      <c r="V75" s="459"/>
      <c r="W75" s="459"/>
      <c r="X75" s="459"/>
      <c r="Y75" s="459"/>
      <c r="Z75" s="459"/>
      <c r="AA75" s="459"/>
      <c r="AB75" s="459"/>
    </row>
    <row r="76" spans="1:28" x14ac:dyDescent="0.2">
      <c r="A76" s="298"/>
      <c r="B76" s="289"/>
      <c r="C76" s="299"/>
      <c r="D76" s="299"/>
      <c r="E76" s="299"/>
      <c r="F76" s="299"/>
      <c r="G76" s="299"/>
      <c r="H76" s="299"/>
      <c r="I76" s="299"/>
      <c r="J76" s="299"/>
      <c r="K76" s="299"/>
      <c r="L76" s="299"/>
      <c r="M76" s="299"/>
      <c r="N76" s="300"/>
      <c r="O76" s="459"/>
      <c r="P76" s="287"/>
      <c r="Q76" s="459"/>
      <c r="R76" s="459"/>
      <c r="S76" s="459"/>
      <c r="T76" s="459"/>
      <c r="U76" s="459"/>
      <c r="V76" s="459"/>
      <c r="W76" s="459"/>
      <c r="X76" s="459"/>
      <c r="Y76" s="459"/>
      <c r="Z76" s="459"/>
      <c r="AA76" s="459"/>
      <c r="AB76" s="459"/>
    </row>
    <row r="77" spans="1:28" x14ac:dyDescent="0.2">
      <c r="A77" s="298"/>
      <c r="B77" s="289"/>
      <c r="C77" s="299"/>
      <c r="D77" s="299"/>
      <c r="E77" s="299"/>
      <c r="F77" s="299"/>
      <c r="G77" s="299"/>
      <c r="H77" s="299"/>
      <c r="I77" s="299"/>
      <c r="J77" s="299"/>
      <c r="K77" s="299"/>
      <c r="L77" s="299"/>
      <c r="M77" s="299"/>
      <c r="N77" s="300"/>
      <c r="O77" s="459"/>
      <c r="P77" s="287"/>
      <c r="Q77" s="459"/>
      <c r="R77" s="459"/>
      <c r="S77" s="459"/>
      <c r="T77" s="459"/>
      <c r="U77" s="459"/>
      <c r="V77" s="459"/>
      <c r="W77" s="459"/>
      <c r="X77" s="459"/>
      <c r="Y77" s="459"/>
      <c r="Z77" s="459"/>
      <c r="AA77" s="459"/>
      <c r="AB77" s="459"/>
    </row>
    <row r="78" spans="1:28" x14ac:dyDescent="0.2">
      <c r="A78" s="298"/>
      <c r="B78" s="289"/>
      <c r="C78" s="299"/>
      <c r="D78" s="299"/>
      <c r="E78" s="299"/>
      <c r="F78" s="299"/>
      <c r="G78" s="299"/>
      <c r="H78" s="299"/>
      <c r="I78" s="299"/>
      <c r="J78" s="299"/>
      <c r="K78" s="299"/>
      <c r="L78" s="299"/>
      <c r="M78" s="299"/>
      <c r="N78" s="300"/>
      <c r="O78" s="459"/>
      <c r="P78" s="287"/>
      <c r="Q78" s="459"/>
      <c r="R78" s="459"/>
      <c r="S78" s="459"/>
      <c r="T78" s="459"/>
      <c r="U78" s="459"/>
      <c r="V78" s="459"/>
      <c r="W78" s="459"/>
      <c r="X78" s="459"/>
      <c r="Y78" s="459"/>
      <c r="Z78" s="459"/>
      <c r="AA78" s="459"/>
      <c r="AB78" s="459"/>
    </row>
    <row r="79" spans="1:28" x14ac:dyDescent="0.2">
      <c r="A79" s="298"/>
      <c r="B79" s="289"/>
      <c r="C79" s="299"/>
      <c r="D79" s="299"/>
      <c r="E79" s="299"/>
      <c r="F79" s="299"/>
      <c r="G79" s="299"/>
      <c r="H79" s="299"/>
      <c r="I79" s="299"/>
      <c r="J79" s="299"/>
      <c r="K79" s="299"/>
      <c r="L79" s="299"/>
      <c r="M79" s="299"/>
      <c r="N79" s="300"/>
      <c r="O79" s="459"/>
      <c r="P79" s="287"/>
      <c r="Q79" s="459"/>
      <c r="R79" s="459"/>
      <c r="S79" s="459"/>
      <c r="T79" s="459"/>
      <c r="U79" s="459"/>
      <c r="V79" s="459"/>
      <c r="W79" s="459"/>
      <c r="X79" s="459"/>
      <c r="Y79" s="459"/>
      <c r="Z79" s="459"/>
      <c r="AA79" s="459"/>
      <c r="AB79" s="459"/>
    </row>
    <row r="80" spans="1:28" x14ac:dyDescent="0.2">
      <c r="A80" s="298"/>
      <c r="B80" s="289"/>
      <c r="C80" s="299"/>
      <c r="D80" s="299"/>
      <c r="E80" s="299"/>
      <c r="F80" s="299"/>
      <c r="G80" s="299"/>
      <c r="H80" s="299"/>
      <c r="I80" s="299"/>
      <c r="J80" s="299"/>
      <c r="K80" s="299"/>
      <c r="L80" s="299"/>
      <c r="M80" s="299"/>
      <c r="N80" s="300"/>
      <c r="O80" s="459"/>
      <c r="P80" s="287"/>
      <c r="Q80" s="459"/>
      <c r="R80" s="459"/>
      <c r="S80" s="459"/>
      <c r="T80" s="459"/>
      <c r="U80" s="459"/>
      <c r="V80" s="459"/>
      <c r="W80" s="459"/>
      <c r="X80" s="459"/>
      <c r="Y80" s="459"/>
      <c r="Z80" s="459"/>
      <c r="AA80" s="459"/>
      <c r="AB80" s="459"/>
    </row>
    <row r="81" spans="1:28" x14ac:dyDescent="0.2">
      <c r="A81" s="298"/>
      <c r="B81" s="289"/>
      <c r="C81" s="299"/>
      <c r="D81" s="299"/>
      <c r="E81" s="299"/>
      <c r="F81" s="299"/>
      <c r="G81" s="299"/>
      <c r="H81" s="299"/>
      <c r="I81" s="299"/>
      <c r="J81" s="299"/>
      <c r="K81" s="299"/>
      <c r="L81" s="299"/>
      <c r="M81" s="299"/>
      <c r="N81" s="300"/>
      <c r="O81" s="459"/>
      <c r="P81" s="287"/>
      <c r="Q81" s="459"/>
      <c r="R81" s="459"/>
      <c r="S81" s="459"/>
      <c r="T81" s="459"/>
      <c r="U81" s="459"/>
      <c r="V81" s="459"/>
      <c r="W81" s="459"/>
      <c r="X81" s="459"/>
      <c r="Y81" s="459"/>
      <c r="Z81" s="459"/>
      <c r="AA81" s="459"/>
      <c r="AB81" s="459"/>
    </row>
    <row r="82" spans="1:28" x14ac:dyDescent="0.2">
      <c r="A82" s="298"/>
      <c r="B82" s="289"/>
      <c r="C82" s="299"/>
      <c r="D82" s="299"/>
      <c r="E82" s="299"/>
      <c r="F82" s="299"/>
      <c r="G82" s="299"/>
      <c r="H82" s="299"/>
      <c r="I82" s="299"/>
      <c r="J82" s="299"/>
      <c r="K82" s="299"/>
      <c r="L82" s="299"/>
      <c r="M82" s="299"/>
      <c r="N82" s="300"/>
      <c r="O82" s="459"/>
      <c r="P82" s="287"/>
      <c r="Q82" s="459"/>
      <c r="R82" s="459"/>
      <c r="S82" s="459"/>
      <c r="T82" s="459"/>
      <c r="U82" s="459"/>
      <c r="V82" s="459"/>
      <c r="W82" s="459"/>
      <c r="X82" s="459"/>
      <c r="Y82" s="459"/>
      <c r="Z82" s="459"/>
      <c r="AA82" s="459"/>
      <c r="AB82" s="459"/>
    </row>
    <row r="83" spans="1:28" x14ac:dyDescent="0.2">
      <c r="A83" s="298"/>
      <c r="B83" s="289"/>
      <c r="C83" s="299"/>
      <c r="D83" s="299"/>
      <c r="E83" s="299"/>
      <c r="F83" s="299"/>
      <c r="G83" s="299"/>
      <c r="H83" s="299"/>
      <c r="I83" s="299"/>
      <c r="J83" s="299"/>
      <c r="K83" s="299"/>
      <c r="L83" s="299"/>
      <c r="M83" s="299"/>
      <c r="N83" s="300"/>
      <c r="O83" s="459"/>
      <c r="P83" s="459"/>
      <c r="Q83" s="459"/>
      <c r="R83" s="459"/>
      <c r="S83" s="459"/>
      <c r="T83" s="459"/>
      <c r="U83" s="459"/>
      <c r="V83" s="459"/>
      <c r="W83" s="459"/>
      <c r="X83" s="459"/>
      <c r="Y83" s="459"/>
      <c r="Z83" s="459"/>
      <c r="AA83" s="459"/>
      <c r="AB83" s="459"/>
    </row>
    <row r="84" spans="1:28" x14ac:dyDescent="0.2">
      <c r="A84" s="298"/>
      <c r="B84" s="289"/>
      <c r="C84" s="299"/>
      <c r="D84" s="299"/>
      <c r="E84" s="299"/>
      <c r="F84" s="299"/>
      <c r="G84" s="299"/>
      <c r="H84" s="299"/>
      <c r="I84" s="299"/>
      <c r="J84" s="299"/>
      <c r="K84" s="299"/>
      <c r="L84" s="299"/>
      <c r="M84" s="299"/>
      <c r="N84" s="300"/>
      <c r="O84" s="459"/>
      <c r="P84" s="459"/>
      <c r="Q84" s="459"/>
      <c r="R84" s="459"/>
      <c r="S84" s="459"/>
      <c r="T84" s="459"/>
      <c r="U84" s="459"/>
      <c r="V84" s="459"/>
      <c r="W84" s="459"/>
      <c r="X84" s="459"/>
      <c r="Y84" s="459"/>
      <c r="Z84" s="459"/>
      <c r="AA84" s="459"/>
      <c r="AB84" s="459"/>
    </row>
    <row r="85" spans="1:28" x14ac:dyDescent="0.2">
      <c r="A85" s="298"/>
      <c r="B85" s="289"/>
      <c r="C85" s="299"/>
      <c r="D85" s="299"/>
      <c r="E85" s="299"/>
      <c r="F85" s="299"/>
      <c r="G85" s="299"/>
      <c r="H85" s="299"/>
      <c r="I85" s="299"/>
      <c r="J85" s="299"/>
      <c r="K85" s="299"/>
      <c r="L85" s="299"/>
      <c r="M85" s="299"/>
      <c r="N85" s="300"/>
      <c r="O85" s="459"/>
      <c r="P85" s="459"/>
      <c r="Q85" s="459"/>
      <c r="R85" s="459"/>
      <c r="S85" s="459"/>
      <c r="T85" s="459"/>
      <c r="U85" s="459"/>
      <c r="V85" s="459"/>
      <c r="W85" s="459"/>
      <c r="X85" s="459"/>
      <c r="Y85" s="459"/>
      <c r="Z85" s="459"/>
      <c r="AA85" s="459"/>
      <c r="AB85" s="459"/>
    </row>
    <row r="86" spans="1:28" x14ac:dyDescent="0.2">
      <c r="A86" s="298"/>
      <c r="B86" s="289"/>
      <c r="C86" s="299"/>
      <c r="D86" s="299"/>
      <c r="E86" s="299"/>
      <c r="F86" s="299"/>
      <c r="G86" s="299"/>
      <c r="H86" s="299"/>
      <c r="I86" s="299"/>
      <c r="J86" s="299"/>
      <c r="K86" s="299"/>
      <c r="L86" s="299"/>
      <c r="M86" s="299"/>
      <c r="N86" s="300"/>
      <c r="O86" s="459"/>
      <c r="P86" s="459"/>
      <c r="Q86" s="459"/>
      <c r="R86" s="459"/>
      <c r="S86" s="459"/>
      <c r="T86" s="459"/>
      <c r="U86" s="459"/>
      <c r="V86" s="459"/>
      <c r="W86" s="459"/>
      <c r="X86" s="459"/>
      <c r="Y86" s="459"/>
      <c r="Z86" s="459"/>
      <c r="AA86" s="459"/>
      <c r="AB86" s="459"/>
    </row>
    <row r="87" spans="1:28" x14ac:dyDescent="0.2">
      <c r="A87" s="298"/>
      <c r="B87" s="289"/>
      <c r="C87" s="299"/>
      <c r="D87" s="299"/>
      <c r="E87" s="299"/>
      <c r="F87" s="299"/>
      <c r="G87" s="299"/>
      <c r="H87" s="299"/>
      <c r="I87" s="299"/>
      <c r="J87" s="299"/>
      <c r="K87" s="299"/>
      <c r="L87" s="299"/>
      <c r="M87" s="299"/>
      <c r="N87" s="300"/>
      <c r="O87" s="459"/>
      <c r="P87" s="459"/>
      <c r="Q87" s="459"/>
      <c r="R87" s="459"/>
      <c r="S87" s="459"/>
      <c r="T87" s="459"/>
      <c r="U87" s="459"/>
      <c r="V87" s="459"/>
      <c r="W87" s="459"/>
      <c r="X87" s="459"/>
      <c r="Y87" s="459"/>
      <c r="Z87" s="459"/>
      <c r="AA87" s="459"/>
      <c r="AB87" s="459"/>
    </row>
    <row r="88" spans="1:28" x14ac:dyDescent="0.2">
      <c r="A88" s="298"/>
      <c r="B88" s="289"/>
      <c r="C88" s="299"/>
      <c r="D88" s="299"/>
      <c r="E88" s="299"/>
      <c r="F88" s="299"/>
      <c r="G88" s="299"/>
      <c r="H88" s="299"/>
      <c r="I88" s="299"/>
      <c r="J88" s="299"/>
      <c r="K88" s="299"/>
      <c r="L88" s="299"/>
      <c r="M88" s="299"/>
      <c r="N88" s="300"/>
      <c r="O88" s="459"/>
      <c r="P88" s="459"/>
      <c r="Q88" s="459"/>
      <c r="R88" s="459"/>
      <c r="S88" s="459"/>
      <c r="T88" s="459"/>
      <c r="U88" s="459"/>
      <c r="V88" s="459"/>
      <c r="W88" s="459"/>
      <c r="X88" s="459"/>
      <c r="Y88" s="459"/>
      <c r="Z88" s="459"/>
      <c r="AA88" s="459"/>
      <c r="AB88" s="459"/>
    </row>
    <row r="89" spans="1:28" x14ac:dyDescent="0.2">
      <c r="A89" s="298"/>
      <c r="B89" s="289"/>
      <c r="C89" s="299"/>
      <c r="D89" s="299"/>
      <c r="E89" s="299"/>
      <c r="F89" s="299"/>
      <c r="G89" s="299"/>
      <c r="H89" s="299"/>
      <c r="I89" s="299"/>
      <c r="J89" s="299"/>
      <c r="K89" s="299"/>
      <c r="L89" s="299"/>
      <c r="M89" s="299"/>
      <c r="N89" s="300"/>
      <c r="O89" s="459"/>
      <c r="P89" s="459"/>
      <c r="Q89" s="459"/>
      <c r="R89" s="459"/>
      <c r="S89" s="459"/>
      <c r="T89" s="459"/>
      <c r="U89" s="459"/>
      <c r="V89" s="459"/>
      <c r="W89" s="459"/>
      <c r="X89" s="459"/>
      <c r="Y89" s="459"/>
      <c r="Z89" s="459"/>
      <c r="AA89" s="459"/>
      <c r="AB89" s="459"/>
    </row>
    <row r="90" spans="1:28" x14ac:dyDescent="0.2">
      <c r="A90" s="298"/>
      <c r="B90" s="289"/>
      <c r="C90" s="299"/>
      <c r="D90" s="299"/>
      <c r="E90" s="299"/>
      <c r="F90" s="299"/>
      <c r="G90" s="299"/>
      <c r="H90" s="299"/>
      <c r="I90" s="299"/>
      <c r="J90" s="299"/>
      <c r="K90" s="299"/>
      <c r="L90" s="299"/>
      <c r="M90" s="299"/>
      <c r="N90" s="300"/>
      <c r="O90" s="459"/>
      <c r="P90" s="459"/>
      <c r="Q90" s="459"/>
      <c r="R90" s="459"/>
      <c r="S90" s="459"/>
      <c r="T90" s="459"/>
      <c r="U90" s="459"/>
      <c r="V90" s="459"/>
      <c r="W90" s="459"/>
      <c r="X90" s="459"/>
      <c r="Y90" s="459"/>
      <c r="Z90" s="459"/>
      <c r="AA90" s="459"/>
      <c r="AB90" s="459"/>
    </row>
    <row r="91" spans="1:28" x14ac:dyDescent="0.2">
      <c r="A91" s="298"/>
      <c r="B91" s="289"/>
      <c r="C91" s="299"/>
      <c r="D91" s="299"/>
      <c r="E91" s="299"/>
      <c r="F91" s="299"/>
      <c r="G91" s="299"/>
      <c r="H91" s="299"/>
      <c r="I91" s="299"/>
      <c r="J91" s="299"/>
      <c r="K91" s="299"/>
      <c r="L91" s="299"/>
      <c r="M91" s="299"/>
      <c r="N91" s="300"/>
      <c r="O91" s="459"/>
      <c r="P91" s="459"/>
      <c r="Q91" s="459"/>
      <c r="R91" s="459"/>
      <c r="S91" s="459"/>
      <c r="T91" s="459"/>
      <c r="U91" s="459"/>
      <c r="V91" s="459"/>
      <c r="W91" s="459"/>
      <c r="X91" s="459"/>
      <c r="Y91" s="459"/>
      <c r="Z91" s="459"/>
      <c r="AA91" s="459"/>
      <c r="AB91" s="459"/>
    </row>
    <row r="92" spans="1:28" x14ac:dyDescent="0.2">
      <c r="A92" s="298"/>
      <c r="B92" s="289"/>
      <c r="C92" s="299"/>
      <c r="D92" s="299"/>
      <c r="E92" s="299"/>
      <c r="F92" s="299"/>
      <c r="G92" s="299"/>
      <c r="H92" s="299"/>
      <c r="I92" s="299"/>
      <c r="J92" s="299"/>
      <c r="K92" s="299"/>
      <c r="L92" s="299"/>
      <c r="M92" s="299"/>
      <c r="N92" s="300"/>
      <c r="O92" s="459"/>
      <c r="P92" s="459"/>
      <c r="Q92" s="459"/>
      <c r="R92" s="459"/>
      <c r="S92" s="459"/>
      <c r="T92" s="459"/>
      <c r="U92" s="459"/>
      <c r="V92" s="459"/>
      <c r="W92" s="459"/>
      <c r="X92" s="459"/>
      <c r="Y92" s="459"/>
      <c r="Z92" s="459"/>
      <c r="AA92" s="459"/>
      <c r="AB92" s="459"/>
    </row>
    <row r="93" spans="1:28" x14ac:dyDescent="0.2">
      <c r="A93" s="298"/>
      <c r="B93" s="301"/>
      <c r="C93" s="299"/>
      <c r="D93" s="299"/>
      <c r="E93" s="299"/>
      <c r="F93" s="299"/>
      <c r="G93" s="299"/>
      <c r="H93" s="299"/>
      <c r="I93" s="299"/>
      <c r="J93" s="299"/>
      <c r="K93" s="299"/>
      <c r="L93" s="299"/>
      <c r="M93" s="299"/>
      <c r="N93" s="300"/>
      <c r="P93" s="459"/>
      <c r="Q93" s="459"/>
      <c r="R93" s="459"/>
      <c r="S93" s="459"/>
      <c r="T93" s="459"/>
      <c r="U93" s="459"/>
      <c r="V93" s="459"/>
      <c r="W93" s="459"/>
      <c r="X93" s="459"/>
      <c r="Y93" s="459"/>
      <c r="Z93" s="459"/>
      <c r="AA93" s="459"/>
      <c r="AB93" s="459"/>
    </row>
    <row r="94" spans="1:28" x14ac:dyDescent="0.2">
      <c r="A94" s="298"/>
      <c r="B94" s="289"/>
      <c r="C94" s="299"/>
      <c r="D94" s="299"/>
      <c r="E94" s="299"/>
      <c r="F94" s="299"/>
      <c r="G94" s="299"/>
      <c r="H94" s="299"/>
      <c r="I94" s="299"/>
      <c r="J94" s="299"/>
      <c r="K94" s="299"/>
      <c r="L94" s="299"/>
      <c r="M94" s="299"/>
      <c r="N94" s="300"/>
      <c r="P94" s="459"/>
      <c r="Q94" s="459"/>
      <c r="R94" s="459"/>
      <c r="S94" s="459"/>
      <c r="T94" s="459"/>
      <c r="U94" s="459"/>
      <c r="V94" s="459"/>
      <c r="W94" s="459"/>
      <c r="X94" s="459"/>
      <c r="Y94" s="459"/>
      <c r="Z94" s="459"/>
      <c r="AA94" s="459"/>
      <c r="AB94" s="459"/>
    </row>
    <row r="95" spans="1:28" x14ac:dyDescent="0.2">
      <c r="A95" s="298"/>
      <c r="B95" s="289"/>
      <c r="C95" s="299"/>
      <c r="D95" s="299"/>
      <c r="E95" s="299"/>
      <c r="F95" s="299"/>
      <c r="G95" s="299"/>
      <c r="H95" s="299"/>
      <c r="I95" s="299"/>
      <c r="J95" s="299"/>
      <c r="K95" s="299"/>
      <c r="L95" s="299"/>
      <c r="M95" s="299"/>
      <c r="N95" s="300"/>
      <c r="P95" s="459"/>
      <c r="Q95" s="459"/>
      <c r="R95" s="459"/>
      <c r="S95" s="459"/>
      <c r="T95" s="459"/>
      <c r="U95" s="459"/>
      <c r="V95" s="459"/>
      <c r="W95" s="459"/>
      <c r="X95" s="459"/>
      <c r="Y95" s="459"/>
      <c r="Z95" s="459"/>
      <c r="AA95" s="459"/>
      <c r="AB95" s="459"/>
    </row>
    <row r="96" spans="1:28" x14ac:dyDescent="0.2">
      <c r="A96" s="298"/>
      <c r="B96" s="289"/>
      <c r="C96" s="299"/>
      <c r="D96" s="299"/>
      <c r="E96" s="299"/>
      <c r="F96" s="299"/>
      <c r="G96" s="299"/>
      <c r="H96" s="299"/>
      <c r="I96" s="299"/>
      <c r="J96" s="299"/>
      <c r="K96" s="299"/>
      <c r="L96" s="299"/>
      <c r="M96" s="299"/>
      <c r="N96" s="300"/>
      <c r="P96" s="459"/>
      <c r="Q96" s="459"/>
      <c r="R96" s="459"/>
      <c r="S96" s="459"/>
      <c r="T96" s="459"/>
      <c r="U96" s="459"/>
      <c r="V96" s="459"/>
      <c r="W96" s="459"/>
      <c r="X96" s="459"/>
      <c r="Y96" s="459"/>
      <c r="Z96" s="459"/>
      <c r="AA96" s="459"/>
      <c r="AB96" s="459"/>
    </row>
    <row r="97" spans="1:28" x14ac:dyDescent="0.2">
      <c r="A97" s="298"/>
      <c r="B97" s="289"/>
      <c r="C97" s="299"/>
      <c r="D97" s="299"/>
      <c r="E97" s="299"/>
      <c r="F97" s="299"/>
      <c r="G97" s="299"/>
      <c r="H97" s="299"/>
      <c r="I97" s="299"/>
      <c r="J97" s="299"/>
      <c r="K97" s="299"/>
      <c r="L97" s="299"/>
      <c r="M97" s="299"/>
      <c r="N97" s="300"/>
      <c r="P97" s="459"/>
      <c r="Q97" s="459"/>
      <c r="R97" s="459"/>
      <c r="S97" s="459"/>
      <c r="T97" s="459"/>
      <c r="U97" s="459"/>
      <c r="V97" s="459"/>
      <c r="W97" s="459"/>
      <c r="X97" s="459"/>
      <c r="Y97" s="459"/>
      <c r="Z97" s="459"/>
      <c r="AA97" s="459"/>
      <c r="AB97" s="459"/>
    </row>
    <row r="98" spans="1:28" x14ac:dyDescent="0.2">
      <c r="A98" s="298"/>
      <c r="B98" s="289"/>
      <c r="C98" s="299"/>
      <c r="D98" s="299"/>
      <c r="E98" s="299"/>
      <c r="F98" s="299"/>
      <c r="G98" s="299"/>
      <c r="H98" s="299"/>
      <c r="I98" s="299"/>
      <c r="J98" s="299"/>
      <c r="K98" s="299"/>
      <c r="L98" s="299"/>
      <c r="M98" s="299"/>
      <c r="N98" s="300"/>
      <c r="P98" s="459"/>
      <c r="Q98" s="459"/>
      <c r="R98" s="459"/>
      <c r="S98" s="459"/>
      <c r="T98" s="459"/>
      <c r="U98" s="459"/>
      <c r="V98" s="459"/>
      <c r="W98" s="459"/>
      <c r="X98" s="459"/>
      <c r="Y98" s="459"/>
      <c r="Z98" s="459"/>
      <c r="AA98" s="459"/>
      <c r="AB98" s="459"/>
    </row>
    <row r="99" spans="1:28" x14ac:dyDescent="0.2">
      <c r="A99" s="298"/>
      <c r="B99" s="289"/>
      <c r="C99" s="299"/>
      <c r="D99" s="299"/>
      <c r="E99" s="299"/>
      <c r="F99" s="299"/>
      <c r="G99" s="299"/>
      <c r="H99" s="299"/>
      <c r="I99" s="299"/>
      <c r="J99" s="299"/>
      <c r="K99" s="299"/>
      <c r="L99" s="299"/>
      <c r="M99" s="299"/>
      <c r="N99" s="300"/>
      <c r="P99" s="459"/>
      <c r="Q99" s="459"/>
      <c r="R99" s="459"/>
      <c r="S99" s="459"/>
      <c r="T99" s="459"/>
      <c r="U99" s="459"/>
      <c r="V99" s="459"/>
      <c r="W99" s="459"/>
      <c r="X99" s="459"/>
      <c r="Y99" s="459"/>
      <c r="Z99" s="459"/>
      <c r="AA99" s="459"/>
      <c r="AB99" s="459"/>
    </row>
    <row r="100" spans="1:28" x14ac:dyDescent="0.2">
      <c r="A100" s="298"/>
      <c r="B100" s="289"/>
      <c r="C100" s="299"/>
      <c r="D100" s="299"/>
      <c r="E100" s="299"/>
      <c r="F100" s="299"/>
      <c r="G100" s="299"/>
      <c r="H100" s="299"/>
      <c r="I100" s="299"/>
      <c r="J100" s="299"/>
      <c r="K100" s="299"/>
      <c r="L100" s="299"/>
      <c r="M100" s="299"/>
      <c r="N100" s="300"/>
    </row>
    <row r="101" spans="1:28" x14ac:dyDescent="0.2">
      <c r="A101" s="298"/>
      <c r="B101" s="289"/>
      <c r="C101" s="299"/>
      <c r="D101" s="299"/>
      <c r="E101" s="299"/>
      <c r="F101" s="299"/>
      <c r="G101" s="299"/>
      <c r="H101" s="299"/>
      <c r="I101" s="299"/>
      <c r="J101" s="299"/>
      <c r="K101" s="299"/>
      <c r="L101" s="299"/>
      <c r="M101" s="299"/>
      <c r="N101" s="300"/>
    </row>
    <row r="102" spans="1:28" x14ac:dyDescent="0.2">
      <c r="A102" s="298"/>
      <c r="B102" s="289"/>
      <c r="C102" s="299"/>
      <c r="D102" s="299"/>
      <c r="E102" s="299"/>
      <c r="F102" s="299"/>
      <c r="G102" s="299"/>
      <c r="H102" s="299"/>
      <c r="I102" s="299"/>
      <c r="J102" s="299"/>
      <c r="K102" s="299"/>
      <c r="L102" s="299"/>
      <c r="M102" s="299"/>
      <c r="N102" s="300"/>
    </row>
    <row r="103" spans="1:28" x14ac:dyDescent="0.2">
      <c r="A103" s="298"/>
      <c r="B103" s="289"/>
      <c r="C103" s="299"/>
      <c r="D103" s="299"/>
      <c r="E103" s="299"/>
      <c r="F103" s="299"/>
      <c r="G103" s="299"/>
      <c r="H103" s="299"/>
      <c r="I103" s="299"/>
      <c r="J103" s="299"/>
      <c r="K103" s="299"/>
      <c r="L103" s="299"/>
      <c r="M103" s="299"/>
      <c r="N103" s="300"/>
    </row>
    <row r="104" spans="1:28" x14ac:dyDescent="0.2">
      <c r="A104" s="298"/>
      <c r="B104" s="289"/>
      <c r="C104" s="299"/>
      <c r="D104" s="299"/>
      <c r="E104" s="299"/>
      <c r="F104" s="299"/>
      <c r="G104" s="299"/>
      <c r="H104" s="299"/>
      <c r="I104" s="299"/>
      <c r="J104" s="299"/>
      <c r="K104" s="299"/>
      <c r="L104" s="299"/>
      <c r="M104" s="299"/>
      <c r="N104" s="300"/>
    </row>
    <row r="105" spans="1:28" x14ac:dyDescent="0.2">
      <c r="A105" s="298"/>
      <c r="B105" s="289"/>
      <c r="C105" s="299"/>
      <c r="D105" s="299"/>
      <c r="E105" s="299"/>
      <c r="F105" s="299"/>
      <c r="G105" s="299"/>
      <c r="H105" s="299"/>
      <c r="I105" s="299"/>
      <c r="J105" s="299"/>
      <c r="K105" s="299"/>
      <c r="L105" s="299"/>
      <c r="M105" s="299"/>
      <c r="N105" s="300"/>
    </row>
    <row r="106" spans="1:28" x14ac:dyDescent="0.2">
      <c r="A106" s="298"/>
      <c r="B106" s="289"/>
      <c r="C106" s="299"/>
      <c r="D106" s="299"/>
      <c r="E106" s="299"/>
      <c r="F106" s="299"/>
      <c r="G106" s="299"/>
      <c r="H106" s="299"/>
      <c r="I106" s="299"/>
      <c r="J106" s="299"/>
      <c r="K106" s="299"/>
      <c r="L106" s="299"/>
      <c r="M106" s="299"/>
      <c r="N106" s="300"/>
    </row>
    <row r="107" spans="1:28" x14ac:dyDescent="0.2">
      <c r="A107" s="298"/>
      <c r="B107" s="289"/>
      <c r="C107" s="299"/>
      <c r="D107" s="299"/>
      <c r="E107" s="299"/>
      <c r="F107" s="299"/>
      <c r="G107" s="299"/>
      <c r="H107" s="299"/>
      <c r="I107" s="299"/>
      <c r="J107" s="299"/>
      <c r="K107" s="299"/>
      <c r="L107" s="299"/>
      <c r="M107" s="299"/>
      <c r="N107" s="300"/>
    </row>
    <row r="108" spans="1:28" ht="13.5" thickBot="1" x14ac:dyDescent="0.25">
      <c r="A108" s="302"/>
      <c r="B108" s="303"/>
      <c r="C108" s="304"/>
      <c r="D108" s="304"/>
      <c r="E108" s="304"/>
      <c r="F108" s="304"/>
      <c r="G108" s="304"/>
      <c r="H108" s="304"/>
      <c r="I108" s="304"/>
      <c r="J108" s="304"/>
      <c r="K108" s="304"/>
      <c r="L108" s="304"/>
      <c r="M108" s="304"/>
      <c r="N108" s="305"/>
    </row>
    <row r="109" spans="1:28" ht="13.5" thickBot="1" x14ac:dyDescent="0.25">
      <c r="A109" s="468" t="s">
        <v>79</v>
      </c>
      <c r="B109" s="469">
        <f>SUM(B7:B108)</f>
        <v>0</v>
      </c>
      <c r="C109" s="463"/>
      <c r="D109" s="463"/>
      <c r="E109" s="463"/>
      <c r="F109" s="463"/>
      <c r="G109" s="463"/>
      <c r="H109" s="463"/>
      <c r="I109" s="463"/>
      <c r="J109" s="463"/>
      <c r="K109" s="463"/>
      <c r="L109" s="463"/>
      <c r="M109" s="463"/>
      <c r="N109" s="464"/>
    </row>
    <row r="110" spans="1:28" x14ac:dyDescent="0.2">
      <c r="A110" s="465"/>
      <c r="B110" s="311"/>
      <c r="C110" s="459"/>
      <c r="D110" s="459"/>
      <c r="E110" s="459"/>
      <c r="F110" s="459"/>
      <c r="G110" s="459"/>
      <c r="H110" s="459"/>
      <c r="I110" s="459"/>
      <c r="J110" s="459"/>
      <c r="K110" s="459"/>
      <c r="L110" s="459"/>
      <c r="M110" s="459"/>
      <c r="N110" s="459"/>
    </row>
    <row r="111" spans="1:28" x14ac:dyDescent="0.2">
      <c r="A111" s="465"/>
      <c r="B111" s="466"/>
      <c r="C111" s="459"/>
      <c r="D111" s="459"/>
      <c r="E111" s="459"/>
      <c r="F111" s="459"/>
      <c r="G111" s="459"/>
      <c r="H111" s="459"/>
      <c r="I111" s="459"/>
      <c r="J111" s="459"/>
      <c r="K111" s="459"/>
      <c r="L111" s="459"/>
      <c r="M111" s="459"/>
      <c r="N111" s="459"/>
    </row>
    <row r="112" spans="1:28" x14ac:dyDescent="0.2">
      <c r="A112" s="465"/>
      <c r="B112" s="466"/>
      <c r="C112" s="459"/>
      <c r="D112" s="459"/>
      <c r="E112" s="459"/>
      <c r="F112" s="459"/>
      <c r="G112" s="459"/>
      <c r="H112" s="459"/>
      <c r="I112" s="459"/>
      <c r="J112" s="459"/>
      <c r="K112" s="459"/>
      <c r="L112" s="459"/>
      <c r="M112" s="459"/>
      <c r="N112" s="459"/>
    </row>
    <row r="113" spans="1:14" x14ac:dyDescent="0.2">
      <c r="A113" s="465"/>
      <c r="B113" s="466"/>
      <c r="C113" s="459"/>
      <c r="D113" s="459"/>
      <c r="E113" s="459"/>
      <c r="F113" s="459"/>
      <c r="G113" s="459"/>
      <c r="H113" s="459"/>
      <c r="I113" s="459"/>
      <c r="J113" s="459"/>
      <c r="K113" s="459"/>
      <c r="L113" s="459"/>
      <c r="M113" s="459"/>
      <c r="N113" s="459"/>
    </row>
    <row r="114" spans="1:14" x14ac:dyDescent="0.2">
      <c r="A114" s="465"/>
      <c r="B114" s="466"/>
      <c r="C114" s="459"/>
      <c r="D114" s="459"/>
      <c r="E114" s="459"/>
      <c r="F114" s="459"/>
      <c r="G114" s="459"/>
      <c r="H114" s="459"/>
      <c r="I114" s="459"/>
      <c r="J114" s="459"/>
      <c r="K114" s="459"/>
      <c r="L114" s="459"/>
      <c r="M114" s="459"/>
      <c r="N114" s="459"/>
    </row>
    <row r="115" spans="1:14" x14ac:dyDescent="0.2">
      <c r="A115" s="465"/>
      <c r="B115" s="466"/>
      <c r="C115" s="459"/>
      <c r="D115" s="459"/>
      <c r="E115" s="459"/>
      <c r="F115" s="459"/>
      <c r="G115" s="459"/>
      <c r="H115" s="459"/>
      <c r="I115" s="459"/>
      <c r="J115" s="459"/>
      <c r="K115" s="459"/>
      <c r="L115" s="459"/>
      <c r="M115" s="459"/>
      <c r="N115" s="459"/>
    </row>
    <row r="116" spans="1:14" x14ac:dyDescent="0.2">
      <c r="A116" s="465"/>
      <c r="B116" s="466"/>
      <c r="C116" s="459"/>
      <c r="D116" s="459"/>
      <c r="E116" s="459"/>
      <c r="F116" s="459"/>
      <c r="G116" s="459"/>
      <c r="H116" s="459"/>
      <c r="I116" s="459"/>
      <c r="J116" s="459"/>
      <c r="K116" s="459"/>
      <c r="L116" s="459"/>
      <c r="M116" s="459"/>
      <c r="N116" s="459"/>
    </row>
    <row r="117" spans="1:14" x14ac:dyDescent="0.2">
      <c r="A117" s="465"/>
      <c r="B117" s="466"/>
      <c r="C117" s="459"/>
      <c r="D117" s="459"/>
      <c r="E117" s="459"/>
      <c r="F117" s="459"/>
      <c r="G117" s="459"/>
      <c r="H117" s="459"/>
      <c r="I117" s="459"/>
      <c r="J117" s="459"/>
      <c r="K117" s="459"/>
      <c r="L117" s="459"/>
      <c r="M117" s="459"/>
      <c r="N117" s="459"/>
    </row>
    <row r="118" spans="1:14" x14ac:dyDescent="0.2">
      <c r="A118" s="465"/>
      <c r="B118" s="466"/>
      <c r="C118" s="459"/>
      <c r="D118" s="459"/>
      <c r="E118" s="459"/>
      <c r="F118" s="459"/>
      <c r="G118" s="459"/>
      <c r="H118" s="459"/>
      <c r="I118" s="459"/>
      <c r="J118" s="459"/>
      <c r="K118" s="459"/>
      <c r="L118" s="459"/>
      <c r="M118" s="459"/>
      <c r="N118" s="459"/>
    </row>
    <row r="119" spans="1:14" x14ac:dyDescent="0.2">
      <c r="A119" s="465"/>
      <c r="B119" s="466"/>
      <c r="C119" s="459"/>
      <c r="D119" s="459"/>
      <c r="E119" s="459"/>
      <c r="F119" s="459"/>
      <c r="G119" s="459"/>
      <c r="H119" s="459"/>
      <c r="I119" s="459"/>
      <c r="J119" s="459"/>
      <c r="K119" s="459"/>
      <c r="L119" s="459"/>
      <c r="M119" s="459"/>
      <c r="N119" s="459"/>
    </row>
    <row r="120" spans="1:14" x14ac:dyDescent="0.2">
      <c r="A120" s="465"/>
      <c r="B120" s="467"/>
      <c r="C120" s="459"/>
      <c r="D120" s="459"/>
      <c r="E120" s="459"/>
      <c r="F120" s="459"/>
      <c r="G120" s="459"/>
      <c r="H120" s="459"/>
      <c r="I120" s="459"/>
      <c r="J120" s="459"/>
      <c r="K120" s="459"/>
      <c r="L120" s="459"/>
      <c r="M120" s="459"/>
      <c r="N120" s="459"/>
    </row>
    <row r="121" spans="1:14" x14ac:dyDescent="0.2">
      <c r="C121" s="459"/>
      <c r="D121" s="459"/>
      <c r="E121" s="459"/>
      <c r="F121" s="459"/>
      <c r="G121" s="459"/>
      <c r="H121" s="459"/>
      <c r="I121" s="459"/>
      <c r="J121" s="459"/>
      <c r="K121" s="459"/>
      <c r="L121" s="459"/>
      <c r="M121" s="459"/>
      <c r="N121" s="459"/>
    </row>
    <row r="122" spans="1:14" x14ac:dyDescent="0.2">
      <c r="C122" s="459"/>
      <c r="D122" s="459"/>
      <c r="E122" s="459"/>
      <c r="F122" s="459"/>
      <c r="G122" s="459"/>
      <c r="H122" s="459"/>
      <c r="I122" s="459"/>
      <c r="J122" s="459"/>
      <c r="K122" s="459"/>
      <c r="L122" s="459"/>
      <c r="M122" s="459"/>
      <c r="N122" s="459"/>
    </row>
    <row r="123" spans="1:14" x14ac:dyDescent="0.2">
      <c r="C123" s="459"/>
      <c r="D123" s="459"/>
      <c r="E123" s="459"/>
      <c r="F123" s="459"/>
      <c r="G123" s="459"/>
      <c r="H123" s="459"/>
      <c r="I123" s="459"/>
      <c r="J123" s="459"/>
      <c r="K123" s="459"/>
      <c r="L123" s="459"/>
      <c r="M123" s="459"/>
      <c r="N123" s="459"/>
    </row>
    <row r="124" spans="1:14" x14ac:dyDescent="0.2">
      <c r="C124" s="459"/>
      <c r="D124" s="459"/>
      <c r="E124" s="459"/>
      <c r="F124" s="459"/>
      <c r="G124" s="459"/>
      <c r="H124" s="459"/>
      <c r="I124" s="459"/>
      <c r="J124" s="459"/>
      <c r="K124" s="459"/>
      <c r="L124" s="459"/>
      <c r="M124" s="459"/>
      <c r="N124" s="459"/>
    </row>
    <row r="125" spans="1:14" x14ac:dyDescent="0.2">
      <c r="C125" s="459"/>
      <c r="D125" s="459"/>
      <c r="E125" s="459"/>
      <c r="F125" s="459"/>
      <c r="G125" s="459"/>
      <c r="H125" s="459"/>
      <c r="I125" s="459"/>
      <c r="J125" s="459"/>
      <c r="K125" s="459"/>
      <c r="L125" s="459"/>
      <c r="M125" s="459"/>
      <c r="N125" s="459"/>
    </row>
    <row r="126" spans="1:14" x14ac:dyDescent="0.2">
      <c r="C126" s="459"/>
      <c r="D126" s="459"/>
      <c r="E126" s="459"/>
      <c r="F126" s="459"/>
      <c r="G126" s="459"/>
      <c r="H126" s="459"/>
      <c r="I126" s="459"/>
      <c r="J126" s="459"/>
      <c r="K126" s="459"/>
      <c r="L126" s="459"/>
      <c r="M126" s="459"/>
      <c r="N126" s="459"/>
    </row>
    <row r="127" spans="1:14" x14ac:dyDescent="0.2">
      <c r="C127" s="459"/>
      <c r="D127" s="459"/>
      <c r="E127" s="459"/>
      <c r="F127" s="459"/>
      <c r="G127" s="459"/>
      <c r="H127" s="459"/>
      <c r="I127" s="459"/>
      <c r="J127" s="459"/>
      <c r="K127" s="459"/>
      <c r="L127" s="459"/>
      <c r="M127" s="459"/>
      <c r="N127" s="459"/>
    </row>
    <row r="128" spans="1:14" x14ac:dyDescent="0.2">
      <c r="C128" s="459"/>
      <c r="D128" s="459"/>
      <c r="E128" s="459"/>
      <c r="F128" s="459"/>
      <c r="G128" s="459"/>
      <c r="H128" s="459"/>
      <c r="I128" s="459"/>
      <c r="J128" s="459"/>
      <c r="K128" s="459"/>
      <c r="L128" s="459"/>
      <c r="M128" s="459"/>
      <c r="N128" s="459"/>
    </row>
    <row r="129" spans="3:14" x14ac:dyDescent="0.2">
      <c r="C129" s="459"/>
      <c r="D129" s="459"/>
      <c r="E129" s="459"/>
      <c r="F129" s="459"/>
      <c r="G129" s="459"/>
      <c r="H129" s="459"/>
      <c r="I129" s="459"/>
      <c r="J129" s="459"/>
      <c r="K129" s="459"/>
      <c r="L129" s="459"/>
      <c r="M129" s="459"/>
      <c r="N129" s="459"/>
    </row>
    <row r="130" spans="3:14" x14ac:dyDescent="0.2">
      <c r="C130" s="459"/>
      <c r="D130" s="459"/>
      <c r="E130" s="459"/>
      <c r="F130" s="459"/>
      <c r="G130" s="459"/>
      <c r="H130" s="459"/>
      <c r="I130" s="459"/>
      <c r="J130" s="459"/>
      <c r="K130" s="459"/>
      <c r="L130" s="459"/>
      <c r="M130" s="459"/>
      <c r="N130" s="459"/>
    </row>
    <row r="131" spans="3:14" x14ac:dyDescent="0.2">
      <c r="C131" s="459"/>
      <c r="D131" s="459"/>
      <c r="E131" s="459"/>
      <c r="F131" s="459"/>
      <c r="G131" s="459"/>
      <c r="H131" s="459"/>
      <c r="I131" s="459"/>
      <c r="J131" s="459"/>
      <c r="K131" s="459"/>
      <c r="L131" s="459"/>
      <c r="M131" s="459"/>
      <c r="N131" s="459"/>
    </row>
    <row r="132" spans="3:14" x14ac:dyDescent="0.2">
      <c r="C132" s="459"/>
      <c r="D132" s="459"/>
      <c r="E132" s="459"/>
      <c r="F132" s="459"/>
      <c r="G132" s="459"/>
      <c r="H132" s="459"/>
      <c r="I132" s="459"/>
      <c r="J132" s="459"/>
      <c r="K132" s="459"/>
      <c r="L132" s="459"/>
      <c r="M132" s="459"/>
      <c r="N132" s="459"/>
    </row>
    <row r="133" spans="3:14" x14ac:dyDescent="0.2">
      <c r="C133" s="459"/>
      <c r="D133" s="459"/>
      <c r="E133" s="459"/>
      <c r="F133" s="459"/>
      <c r="G133" s="459"/>
      <c r="H133" s="459"/>
      <c r="I133" s="459"/>
      <c r="J133" s="459"/>
      <c r="K133" s="459"/>
      <c r="L133" s="459"/>
      <c r="M133" s="459"/>
      <c r="N133" s="459"/>
    </row>
    <row r="134" spans="3:14" x14ac:dyDescent="0.2">
      <c r="C134" s="459"/>
      <c r="D134" s="459"/>
      <c r="E134" s="459"/>
      <c r="F134" s="459"/>
      <c r="G134" s="459"/>
      <c r="H134" s="459"/>
      <c r="I134" s="459"/>
      <c r="J134" s="459"/>
      <c r="K134" s="459"/>
      <c r="L134" s="459"/>
      <c r="M134" s="459"/>
      <c r="N134" s="459"/>
    </row>
    <row r="135" spans="3:14" x14ac:dyDescent="0.2">
      <c r="C135" s="459"/>
      <c r="D135" s="459"/>
      <c r="E135" s="459"/>
      <c r="F135" s="459"/>
      <c r="G135" s="459"/>
      <c r="H135" s="459"/>
      <c r="I135" s="459"/>
      <c r="J135" s="459"/>
      <c r="K135" s="459"/>
      <c r="L135" s="459"/>
      <c r="M135" s="459"/>
      <c r="N135" s="459"/>
    </row>
  </sheetData>
  <mergeCells count="1">
    <mergeCell ref="A1:N1"/>
  </mergeCells>
  <dataValidations count="1">
    <dataValidation type="list" allowBlank="1" showInputMessage="1" showErrorMessage="1" sqref="C7:N107" xr:uid="{96ADC150-7C18-4CE5-A877-C1EF934EFF87}">
      <formula1>$P$7:$P$18</formula1>
    </dataValidation>
  </dataValidations>
  <hyperlinks>
    <hyperlink ref="A3" location="Instructions!A16" display="Instructions" xr:uid="{CAC1D09A-5088-4719-8123-5A0FF525A932}"/>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67565-28FA-431E-962E-57064AB398C1}">
  <sheetPr>
    <tabColor rgb="FFFF0000"/>
  </sheetPr>
  <dimension ref="A1:P44"/>
  <sheetViews>
    <sheetView workbookViewId="0">
      <pane xSplit="2" ySplit="2" topLeftCell="C18" activePane="bottomRight" state="frozen"/>
      <selection pane="topRight" activeCell="C1" sqref="C1"/>
      <selection pane="bottomLeft" activeCell="A3" sqref="A3"/>
      <selection pane="bottomRight" activeCell="H41" sqref="H41"/>
    </sheetView>
  </sheetViews>
  <sheetFormatPr defaultRowHeight="12.75" x14ac:dyDescent="0.2"/>
  <cols>
    <col min="1" max="1" width="24.1640625" customWidth="1"/>
    <col min="2" max="2" width="10.33203125" style="544" bestFit="1" customWidth="1"/>
  </cols>
  <sheetData>
    <row r="1" spans="1:16" ht="13.5" thickBot="1" x14ac:dyDescent="0.25"/>
    <row r="2" spans="1:16" x14ac:dyDescent="0.2">
      <c r="A2" s="449"/>
      <c r="B2" s="545" t="s">
        <v>0</v>
      </c>
      <c r="C2" s="447" t="str">
        <f>'P1 Area'!C6</f>
        <v>Mar</v>
      </c>
      <c r="D2" s="448" t="str">
        <f>'P1 Area'!D6</f>
        <v>Apr</v>
      </c>
      <c r="E2" s="448" t="str">
        <f>'P1 Area'!E6</f>
        <v>May</v>
      </c>
      <c r="F2" s="448" t="str">
        <f>'P1 Area'!F6</f>
        <v>Jun</v>
      </c>
      <c r="G2" s="448" t="str">
        <f>'P1 Area'!G6</f>
        <v>Jul</v>
      </c>
      <c r="H2" s="449" t="str">
        <f>'P1 Area'!H6</f>
        <v>Aug</v>
      </c>
      <c r="I2" s="448" t="str">
        <f>'P1 Area'!I6</f>
        <v>Sep</v>
      </c>
      <c r="J2" s="448" t="str">
        <f>'P1 Area'!J6</f>
        <v>Oct</v>
      </c>
      <c r="K2" s="448" t="str">
        <f>'P1 Area'!K6</f>
        <v>Nov</v>
      </c>
      <c r="L2" s="448" t="str">
        <f>'P1 Area'!L6</f>
        <v>Dec</v>
      </c>
      <c r="M2" s="448" t="str">
        <f>'P1 Area'!M6</f>
        <v>Jan</v>
      </c>
      <c r="N2" s="472" t="str">
        <f>'P1 Area'!N6</f>
        <v>Feb</v>
      </c>
    </row>
    <row r="3" spans="1:16" x14ac:dyDescent="0.2">
      <c r="A3" s="537" t="s">
        <v>293</v>
      </c>
      <c r="B3" s="546"/>
      <c r="C3" s="540"/>
      <c r="D3" s="529">
        <f>C10</f>
        <v>0</v>
      </c>
      <c r="E3" s="529">
        <f t="shared" ref="E3:N3" si="0">D10</f>
        <v>0</v>
      </c>
      <c r="F3" s="529">
        <f t="shared" si="0"/>
        <v>0</v>
      </c>
      <c r="G3" s="529">
        <f t="shared" si="0"/>
        <v>0</v>
      </c>
      <c r="H3" s="529">
        <f t="shared" si="0"/>
        <v>0</v>
      </c>
      <c r="I3" s="529">
        <f t="shared" si="0"/>
        <v>0</v>
      </c>
      <c r="J3" s="529">
        <f t="shared" si="0"/>
        <v>0</v>
      </c>
      <c r="K3" s="529">
        <f t="shared" si="0"/>
        <v>0</v>
      </c>
      <c r="L3" s="529">
        <f t="shared" si="0"/>
        <v>0</v>
      </c>
      <c r="M3" s="529">
        <f t="shared" si="0"/>
        <v>0</v>
      </c>
      <c r="N3" s="530">
        <f t="shared" si="0"/>
        <v>0</v>
      </c>
    </row>
    <row r="4" spans="1:16" x14ac:dyDescent="0.2">
      <c r="A4" s="538" t="s">
        <v>294</v>
      </c>
      <c r="B4" s="547">
        <f>SUM(C4:N4)</f>
        <v>0</v>
      </c>
      <c r="C4" s="541"/>
      <c r="D4" s="299"/>
      <c r="E4" s="299"/>
      <c r="F4" s="299"/>
      <c r="G4" s="299"/>
      <c r="H4" s="299"/>
      <c r="I4" s="299"/>
      <c r="J4" s="299"/>
      <c r="K4" s="299"/>
      <c r="L4" s="299"/>
      <c r="M4" s="299"/>
      <c r="N4" s="300"/>
    </row>
    <row r="5" spans="1:16" x14ac:dyDescent="0.2">
      <c r="A5" s="538" t="s">
        <v>295</v>
      </c>
      <c r="B5" s="547">
        <f>SUM(C5:N5)</f>
        <v>0</v>
      </c>
      <c r="C5" s="541"/>
      <c r="D5" s="299"/>
      <c r="E5" s="299"/>
      <c r="F5" s="299"/>
      <c r="G5" s="299"/>
      <c r="H5" s="299"/>
      <c r="I5" s="299"/>
      <c r="J5" s="299"/>
      <c r="K5" s="299"/>
      <c r="L5" s="299"/>
      <c r="M5" s="299"/>
      <c r="N5" s="300"/>
    </row>
    <row r="6" spans="1:16" x14ac:dyDescent="0.2">
      <c r="A6" s="538" t="s">
        <v>296</v>
      </c>
      <c r="B6" s="547">
        <f>SUM(C6:N6)</f>
        <v>0</v>
      </c>
      <c r="C6" s="541"/>
      <c r="D6" s="299"/>
      <c r="E6" s="299"/>
      <c r="F6" s="299"/>
      <c r="G6" s="299"/>
      <c r="H6" s="299"/>
      <c r="I6" s="299"/>
      <c r="J6" s="299"/>
      <c r="K6" s="299"/>
      <c r="L6" s="299"/>
      <c r="M6" s="299"/>
      <c r="N6" s="300"/>
    </row>
    <row r="7" spans="1:16" x14ac:dyDescent="0.2">
      <c r="A7" s="538" t="s">
        <v>297</v>
      </c>
      <c r="B7" s="547">
        <f>SUM(C7:N7)</f>
        <v>0</v>
      </c>
      <c r="C7" s="541"/>
      <c r="D7" s="299"/>
      <c r="E7" s="299"/>
      <c r="F7" s="299"/>
      <c r="G7" s="299"/>
      <c r="H7" s="299"/>
      <c r="I7" s="299"/>
      <c r="J7" s="299"/>
      <c r="K7" s="299"/>
      <c r="L7" s="299"/>
      <c r="M7" s="299"/>
      <c r="N7" s="300"/>
      <c r="P7" s="533" t="e">
        <f>B7/(B16+B18)</f>
        <v>#DIV/0!</v>
      </c>
    </row>
    <row r="8" spans="1:16" x14ac:dyDescent="0.2">
      <c r="A8" s="538" t="s">
        <v>298</v>
      </c>
      <c r="B8" s="547">
        <f>SUM(C8:N8)</f>
        <v>0</v>
      </c>
      <c r="C8" s="541"/>
      <c r="D8" s="299"/>
      <c r="E8" s="299"/>
      <c r="F8" s="299"/>
      <c r="G8" s="299"/>
      <c r="H8" s="299"/>
      <c r="I8" s="299"/>
      <c r="J8" s="299"/>
      <c r="K8" s="299"/>
      <c r="L8" s="299"/>
      <c r="M8" s="299"/>
      <c r="N8" s="300"/>
      <c r="P8" s="533" t="e">
        <f>B8/(B16+B18)</f>
        <v>#DIV/0!</v>
      </c>
    </row>
    <row r="9" spans="1:16" x14ac:dyDescent="0.2">
      <c r="A9" s="538" t="s">
        <v>487</v>
      </c>
      <c r="B9" s="547"/>
      <c r="C9" s="542">
        <f>-Trnsf!D4</f>
        <v>0</v>
      </c>
      <c r="D9" s="531">
        <f>-Trnsf!E4</f>
        <v>0</v>
      </c>
      <c r="E9" s="531">
        <f>-Trnsf!F4</f>
        <v>0</v>
      </c>
      <c r="F9" s="531">
        <f>-Trnsf!G4</f>
        <v>0</v>
      </c>
      <c r="G9" s="531">
        <f>-Trnsf!H4</f>
        <v>0</v>
      </c>
      <c r="H9" s="531">
        <f>-Trnsf!I4</f>
        <v>0</v>
      </c>
      <c r="I9" s="531">
        <f>-Trnsf!J4</f>
        <v>0</v>
      </c>
      <c r="J9" s="531">
        <f>-Trnsf!K4</f>
        <v>0</v>
      </c>
      <c r="K9" s="531">
        <f>-Trnsf!L4</f>
        <v>0</v>
      </c>
      <c r="L9" s="531">
        <f>-Trnsf!M4</f>
        <v>0</v>
      </c>
      <c r="M9" s="531">
        <f>-Trnsf!N4</f>
        <v>0</v>
      </c>
      <c r="N9" s="532">
        <f>-Trnsf!O4</f>
        <v>0</v>
      </c>
      <c r="P9" s="533"/>
    </row>
    <row r="10" spans="1:16" x14ac:dyDescent="0.2">
      <c r="A10" s="538" t="s">
        <v>299</v>
      </c>
      <c r="B10" s="547"/>
      <c r="C10" s="542">
        <f>SUM(C3:C5,C9)-SUM(C6:C8)</f>
        <v>0</v>
      </c>
      <c r="D10" s="531">
        <f t="shared" ref="D10:N10" si="1">SUM(D3:D5,D9)-SUM(D6:D8)</f>
        <v>0</v>
      </c>
      <c r="E10" s="531">
        <f t="shared" si="1"/>
        <v>0</v>
      </c>
      <c r="F10" s="531">
        <f t="shared" si="1"/>
        <v>0</v>
      </c>
      <c r="G10" s="531">
        <f t="shared" si="1"/>
        <v>0</v>
      </c>
      <c r="H10" s="531">
        <f t="shared" si="1"/>
        <v>0</v>
      </c>
      <c r="I10" s="531">
        <f t="shared" si="1"/>
        <v>0</v>
      </c>
      <c r="J10" s="531">
        <f t="shared" si="1"/>
        <v>0</v>
      </c>
      <c r="K10" s="531">
        <f t="shared" si="1"/>
        <v>0</v>
      </c>
      <c r="L10" s="531">
        <f t="shared" si="1"/>
        <v>0</v>
      </c>
      <c r="M10" s="531">
        <f t="shared" si="1"/>
        <v>0</v>
      </c>
      <c r="N10" s="532">
        <f t="shared" si="1"/>
        <v>0</v>
      </c>
    </row>
    <row r="11" spans="1:16" x14ac:dyDescent="0.2">
      <c r="A11" s="538"/>
      <c r="B11" s="547"/>
      <c r="C11" s="541"/>
      <c r="D11" s="299"/>
      <c r="E11" s="299"/>
      <c r="F11" s="299"/>
      <c r="G11" s="299"/>
      <c r="H11" s="299"/>
      <c r="I11" s="299"/>
      <c r="J11" s="299"/>
      <c r="K11" s="299"/>
      <c r="L11" s="299"/>
      <c r="M11" s="299"/>
      <c r="N11" s="300"/>
    </row>
    <row r="12" spans="1:16" x14ac:dyDescent="0.2">
      <c r="A12" s="538" t="s">
        <v>300</v>
      </c>
      <c r="B12" s="547"/>
      <c r="C12" s="541">
        <v>0</v>
      </c>
      <c r="D12" s="531">
        <f>C15</f>
        <v>0</v>
      </c>
      <c r="E12" s="531">
        <f t="shared" ref="E12:N12" si="2">D15</f>
        <v>0</v>
      </c>
      <c r="F12" s="531">
        <f t="shared" si="2"/>
        <v>0</v>
      </c>
      <c r="G12" s="531">
        <f t="shared" si="2"/>
        <v>0</v>
      </c>
      <c r="H12" s="531">
        <f t="shared" si="2"/>
        <v>0</v>
      </c>
      <c r="I12" s="531">
        <f t="shared" si="2"/>
        <v>0</v>
      </c>
      <c r="J12" s="531">
        <f t="shared" si="2"/>
        <v>0</v>
      </c>
      <c r="K12" s="531">
        <f t="shared" si="2"/>
        <v>0</v>
      </c>
      <c r="L12" s="531">
        <f t="shared" si="2"/>
        <v>0</v>
      </c>
      <c r="M12" s="531">
        <f t="shared" si="2"/>
        <v>0</v>
      </c>
      <c r="N12" s="532">
        <f t="shared" si="2"/>
        <v>0</v>
      </c>
    </row>
    <row r="13" spans="1:16" x14ac:dyDescent="0.2">
      <c r="A13" s="538" t="s">
        <v>301</v>
      </c>
      <c r="B13" s="547"/>
      <c r="C13" s="542">
        <f>-C4+C6</f>
        <v>0</v>
      </c>
      <c r="D13" s="531">
        <f t="shared" ref="D13:N13" si="3">-D4+D6</f>
        <v>0</v>
      </c>
      <c r="E13" s="531">
        <f t="shared" si="3"/>
        <v>0</v>
      </c>
      <c r="F13" s="531">
        <f t="shared" si="3"/>
        <v>0</v>
      </c>
      <c r="G13" s="531">
        <f t="shared" si="3"/>
        <v>0</v>
      </c>
      <c r="H13" s="531">
        <f t="shared" si="3"/>
        <v>0</v>
      </c>
      <c r="I13" s="531">
        <f t="shared" si="3"/>
        <v>0</v>
      </c>
      <c r="J13" s="531">
        <f t="shared" si="3"/>
        <v>0</v>
      </c>
      <c r="K13" s="531">
        <f t="shared" si="3"/>
        <v>0</v>
      </c>
      <c r="L13" s="531">
        <f t="shared" si="3"/>
        <v>0</v>
      </c>
      <c r="M13" s="531">
        <f t="shared" si="3"/>
        <v>0</v>
      </c>
      <c r="N13" s="532">
        <f t="shared" si="3"/>
        <v>0</v>
      </c>
    </row>
    <row r="14" spans="1:16" x14ac:dyDescent="0.2">
      <c r="A14" s="538" t="s">
        <v>487</v>
      </c>
      <c r="B14" s="547"/>
      <c r="C14" s="542">
        <f>-Trnsf!D5</f>
        <v>0</v>
      </c>
      <c r="D14" s="531">
        <f>-Trnsf!E5</f>
        <v>0</v>
      </c>
      <c r="E14" s="531">
        <f>-Trnsf!F5</f>
        <v>0</v>
      </c>
      <c r="F14" s="531">
        <f>-Trnsf!G5</f>
        <v>0</v>
      </c>
      <c r="G14" s="531">
        <f>-Trnsf!H5</f>
        <v>0</v>
      </c>
      <c r="H14" s="531">
        <f>-Trnsf!I5</f>
        <v>0</v>
      </c>
      <c r="I14" s="531">
        <f>-Trnsf!J5</f>
        <v>0</v>
      </c>
      <c r="J14" s="531">
        <f>-Trnsf!K5</f>
        <v>0</v>
      </c>
      <c r="K14" s="531">
        <f>-Trnsf!L5</f>
        <v>0</v>
      </c>
      <c r="L14" s="531">
        <f>-Trnsf!M5</f>
        <v>0</v>
      </c>
      <c r="M14" s="531">
        <f>-Trnsf!N5</f>
        <v>0</v>
      </c>
      <c r="N14" s="532">
        <f>-Trnsf!O5</f>
        <v>0</v>
      </c>
    </row>
    <row r="15" spans="1:16" x14ac:dyDescent="0.2">
      <c r="A15" s="538" t="s">
        <v>302</v>
      </c>
      <c r="B15" s="547"/>
      <c r="C15" s="542">
        <f>C12+C13+C14</f>
        <v>0</v>
      </c>
      <c r="D15" s="531">
        <f t="shared" ref="D15:N15" si="4">D12+D13+D14</f>
        <v>0</v>
      </c>
      <c r="E15" s="531">
        <f t="shared" si="4"/>
        <v>0</v>
      </c>
      <c r="F15" s="531">
        <f t="shared" si="4"/>
        <v>0</v>
      </c>
      <c r="G15" s="531">
        <f t="shared" si="4"/>
        <v>0</v>
      </c>
      <c r="H15" s="531">
        <f t="shared" si="4"/>
        <v>0</v>
      </c>
      <c r="I15" s="531">
        <f t="shared" si="4"/>
        <v>0</v>
      </c>
      <c r="J15" s="531">
        <f t="shared" si="4"/>
        <v>0</v>
      </c>
      <c r="K15" s="531">
        <f t="shared" si="4"/>
        <v>0</v>
      </c>
      <c r="L15" s="531">
        <f t="shared" si="4"/>
        <v>0</v>
      </c>
      <c r="M15" s="531">
        <f t="shared" si="4"/>
        <v>0</v>
      </c>
      <c r="N15" s="532">
        <f t="shared" si="4"/>
        <v>0</v>
      </c>
    </row>
    <row r="16" spans="1:16" x14ac:dyDescent="0.2">
      <c r="A16" s="538" t="s">
        <v>303</v>
      </c>
      <c r="B16" s="547">
        <f>AVERAGE(C16:N16)</f>
        <v>0</v>
      </c>
      <c r="C16" s="542">
        <f>(C12+C15)/2</f>
        <v>0</v>
      </c>
      <c r="D16" s="531">
        <f t="shared" ref="D16:N16" si="5">(D12+D15)/2</f>
        <v>0</v>
      </c>
      <c r="E16" s="531">
        <f t="shared" si="5"/>
        <v>0</v>
      </c>
      <c r="F16" s="531">
        <f t="shared" si="5"/>
        <v>0</v>
      </c>
      <c r="G16" s="531">
        <f t="shared" si="5"/>
        <v>0</v>
      </c>
      <c r="H16" s="531">
        <f t="shared" si="5"/>
        <v>0</v>
      </c>
      <c r="I16" s="531">
        <f t="shared" si="5"/>
        <v>0</v>
      </c>
      <c r="J16" s="531">
        <f t="shared" si="5"/>
        <v>0</v>
      </c>
      <c r="K16" s="531">
        <f t="shared" si="5"/>
        <v>0</v>
      </c>
      <c r="L16" s="531">
        <f t="shared" si="5"/>
        <v>0</v>
      </c>
      <c r="M16" s="531">
        <f t="shared" si="5"/>
        <v>0</v>
      </c>
      <c r="N16" s="532">
        <f t="shared" si="5"/>
        <v>0</v>
      </c>
    </row>
    <row r="17" spans="1:14" x14ac:dyDescent="0.2">
      <c r="A17" s="538"/>
      <c r="B17" s="547"/>
      <c r="C17" s="541"/>
      <c r="D17" s="299"/>
      <c r="E17" s="299"/>
      <c r="F17" s="299"/>
      <c r="G17" s="299"/>
      <c r="H17" s="299"/>
      <c r="I17" s="299"/>
      <c r="J17" s="299"/>
      <c r="K17" s="299"/>
      <c r="L17" s="299"/>
      <c r="M17" s="299"/>
      <c r="N17" s="300"/>
    </row>
    <row r="18" spans="1:14" x14ac:dyDescent="0.2">
      <c r="A18" s="538" t="s">
        <v>304</v>
      </c>
      <c r="B18" s="547">
        <f>AVERAGE(C18:N18)</f>
        <v>0</v>
      </c>
      <c r="C18" s="542">
        <f>(C3+C10)/2</f>
        <v>0</v>
      </c>
      <c r="D18" s="531">
        <f t="shared" ref="D18:N18" si="6">(D3+D10)/2</f>
        <v>0</v>
      </c>
      <c r="E18" s="531">
        <f t="shared" si="6"/>
        <v>0</v>
      </c>
      <c r="F18" s="531">
        <f t="shared" si="6"/>
        <v>0</v>
      </c>
      <c r="G18" s="531">
        <f t="shared" si="6"/>
        <v>0</v>
      </c>
      <c r="H18" s="531">
        <f t="shared" si="6"/>
        <v>0</v>
      </c>
      <c r="I18" s="531">
        <f t="shared" si="6"/>
        <v>0</v>
      </c>
      <c r="J18" s="531">
        <f t="shared" si="6"/>
        <v>0</v>
      </c>
      <c r="K18" s="531">
        <f t="shared" si="6"/>
        <v>0</v>
      </c>
      <c r="L18" s="531">
        <f t="shared" si="6"/>
        <v>0</v>
      </c>
      <c r="M18" s="531">
        <f t="shared" si="6"/>
        <v>0</v>
      </c>
      <c r="N18" s="532">
        <f t="shared" si="6"/>
        <v>0</v>
      </c>
    </row>
    <row r="19" spans="1:14" x14ac:dyDescent="0.2">
      <c r="A19" s="538" t="s">
        <v>305</v>
      </c>
      <c r="B19" s="629">
        <f>AVERAGE(C19:N19)</f>
        <v>16.916666666666668</v>
      </c>
      <c r="C19" s="630">
        <v>17</v>
      </c>
      <c r="D19" s="631">
        <v>16</v>
      </c>
      <c r="E19" s="631">
        <v>15</v>
      </c>
      <c r="F19" s="631">
        <v>14</v>
      </c>
      <c r="G19" s="631">
        <v>12</v>
      </c>
      <c r="H19" s="631">
        <v>16</v>
      </c>
      <c r="I19" s="631">
        <v>18</v>
      </c>
      <c r="J19" s="631">
        <v>21</v>
      </c>
      <c r="K19" s="631">
        <v>20</v>
      </c>
      <c r="L19" s="631">
        <v>19</v>
      </c>
      <c r="M19" s="631">
        <v>18</v>
      </c>
      <c r="N19" s="632">
        <v>17</v>
      </c>
    </row>
    <row r="20" spans="1:14" x14ac:dyDescent="0.2">
      <c r="A20" s="538" t="s">
        <v>306</v>
      </c>
      <c r="B20" s="547">
        <f>SUM(C20:N20)</f>
        <v>0</v>
      </c>
      <c r="C20" s="542">
        <f>C18*C19*'P1 Bal'!E12</f>
        <v>0</v>
      </c>
      <c r="D20" s="531">
        <f>D18*D19*'P1 Bal'!F12</f>
        <v>0</v>
      </c>
      <c r="E20" s="531">
        <f>E18*E19*'P1 Bal'!G12</f>
        <v>0</v>
      </c>
      <c r="F20" s="531">
        <f>F18*F19*'P1 Bal'!H12</f>
        <v>0</v>
      </c>
      <c r="G20" s="531">
        <f>G18*G19*'P1 Bal'!I12</f>
        <v>0</v>
      </c>
      <c r="H20" s="531">
        <f>H18*H19*'P1 Bal'!J12</f>
        <v>0</v>
      </c>
      <c r="I20" s="531">
        <f>I18*I19*'P1 Bal'!K12</f>
        <v>0</v>
      </c>
      <c r="J20" s="531">
        <f>J18*J19*'P1 Bal'!L12</f>
        <v>0</v>
      </c>
      <c r="K20" s="531">
        <f>K18*K19*'P1 Bal'!M12</f>
        <v>0</v>
      </c>
      <c r="L20" s="531">
        <f>L18*L19*'P1 Bal'!N12</f>
        <v>0</v>
      </c>
      <c r="M20" s="531">
        <f>M18*M19*'P1 Bal'!O12</f>
        <v>0</v>
      </c>
      <c r="N20" s="532">
        <f>N18*N19*'P1 Bal'!P12</f>
        <v>0</v>
      </c>
    </row>
    <row r="21" spans="1:14" x14ac:dyDescent="0.2">
      <c r="A21" s="538"/>
      <c r="B21" s="547" t="e">
        <f>B20/(B16+B18)</f>
        <v>#DIV/0!</v>
      </c>
      <c r="C21" s="541"/>
      <c r="D21" s="299"/>
      <c r="E21" s="299"/>
      <c r="F21" s="299"/>
      <c r="G21" s="299"/>
      <c r="H21" s="299"/>
      <c r="I21" s="299"/>
      <c r="J21" s="299"/>
      <c r="K21" s="299"/>
      <c r="L21" s="299"/>
      <c r="M21" s="299"/>
      <c r="N21" s="300"/>
    </row>
    <row r="22" spans="1:14" x14ac:dyDescent="0.2">
      <c r="A22" s="538" t="s">
        <v>307</v>
      </c>
      <c r="B22" s="547"/>
      <c r="C22" s="541"/>
      <c r="D22" s="299"/>
      <c r="E22" s="299"/>
      <c r="F22" s="299"/>
      <c r="G22" s="299"/>
      <c r="H22" s="299"/>
      <c r="I22" s="299"/>
      <c r="J22" s="299"/>
      <c r="K22" s="299"/>
      <c r="L22" s="299"/>
      <c r="M22" s="299"/>
      <c r="N22" s="300"/>
    </row>
    <row r="23" spans="1:14" x14ac:dyDescent="0.2">
      <c r="A23" s="538" t="s">
        <v>308</v>
      </c>
      <c r="B23" s="547">
        <v>420</v>
      </c>
      <c r="C23" s="543">
        <f t="shared" ref="C23:N23" si="7">$B$23/100+1</f>
        <v>5.2</v>
      </c>
      <c r="D23" s="534">
        <f t="shared" si="7"/>
        <v>5.2</v>
      </c>
      <c r="E23" s="534">
        <f t="shared" si="7"/>
        <v>5.2</v>
      </c>
      <c r="F23" s="534">
        <f t="shared" si="7"/>
        <v>5.2</v>
      </c>
      <c r="G23" s="534">
        <f t="shared" si="7"/>
        <v>5.2</v>
      </c>
      <c r="H23" s="534">
        <f t="shared" si="7"/>
        <v>5.2</v>
      </c>
      <c r="I23" s="534">
        <f t="shared" si="7"/>
        <v>5.2</v>
      </c>
      <c r="J23" s="534">
        <f t="shared" si="7"/>
        <v>5.2</v>
      </c>
      <c r="K23" s="534">
        <f t="shared" si="7"/>
        <v>5.2</v>
      </c>
      <c r="L23" s="534">
        <f t="shared" si="7"/>
        <v>5.2</v>
      </c>
      <c r="M23" s="534">
        <f t="shared" si="7"/>
        <v>5.2</v>
      </c>
      <c r="N23" s="535">
        <f t="shared" si="7"/>
        <v>5.2</v>
      </c>
    </row>
    <row r="24" spans="1:14" x14ac:dyDescent="0.2">
      <c r="A24" s="538" t="s">
        <v>309</v>
      </c>
      <c r="B24" s="547"/>
      <c r="C24" s="543">
        <f t="shared" ref="C24:N24" si="8">C19/2</f>
        <v>8.5</v>
      </c>
      <c r="D24" s="534">
        <f t="shared" si="8"/>
        <v>8</v>
      </c>
      <c r="E24" s="534">
        <f t="shared" si="8"/>
        <v>7.5</v>
      </c>
      <c r="F24" s="534">
        <f t="shared" si="8"/>
        <v>7</v>
      </c>
      <c r="G24" s="534">
        <f t="shared" si="8"/>
        <v>6</v>
      </c>
      <c r="H24" s="534">
        <f t="shared" si="8"/>
        <v>8</v>
      </c>
      <c r="I24" s="534">
        <f t="shared" si="8"/>
        <v>9</v>
      </c>
      <c r="J24" s="534">
        <f t="shared" si="8"/>
        <v>10.5</v>
      </c>
      <c r="K24" s="534">
        <f t="shared" si="8"/>
        <v>10</v>
      </c>
      <c r="L24" s="534">
        <f t="shared" si="8"/>
        <v>9.5</v>
      </c>
      <c r="M24" s="534">
        <f t="shared" si="8"/>
        <v>9</v>
      </c>
      <c r="N24" s="535">
        <f t="shared" si="8"/>
        <v>8.5</v>
      </c>
    </row>
    <row r="25" spans="1:14" x14ac:dyDescent="0.2">
      <c r="A25" s="538" t="s">
        <v>438</v>
      </c>
      <c r="B25" s="548">
        <v>1</v>
      </c>
      <c r="C25" s="543">
        <f>B25</f>
        <v>1</v>
      </c>
      <c r="D25" s="534">
        <f t="shared" ref="D25:N25" si="9">C25</f>
        <v>1</v>
      </c>
      <c r="E25" s="534">
        <f t="shared" si="9"/>
        <v>1</v>
      </c>
      <c r="F25" s="534">
        <f t="shared" si="9"/>
        <v>1</v>
      </c>
      <c r="G25" s="534">
        <f t="shared" si="9"/>
        <v>1</v>
      </c>
      <c r="H25" s="534">
        <f t="shared" si="9"/>
        <v>1</v>
      </c>
      <c r="I25" s="534">
        <f t="shared" si="9"/>
        <v>1</v>
      </c>
      <c r="J25" s="534">
        <f t="shared" si="9"/>
        <v>1</v>
      </c>
      <c r="K25" s="534">
        <f t="shared" si="9"/>
        <v>1</v>
      </c>
      <c r="L25" s="534">
        <f t="shared" si="9"/>
        <v>1</v>
      </c>
      <c r="M25" s="534">
        <f t="shared" si="9"/>
        <v>1</v>
      </c>
      <c r="N25" s="535">
        <f t="shared" si="9"/>
        <v>1</v>
      </c>
    </row>
    <row r="26" spans="1:14" x14ac:dyDescent="0.2">
      <c r="A26" s="538" t="s">
        <v>310</v>
      </c>
      <c r="B26" s="547"/>
      <c r="C26" s="543">
        <f t="shared" ref="C26:N26" si="10">SUM(C23:C25)</f>
        <v>14.7</v>
      </c>
      <c r="D26" s="534">
        <f t="shared" si="10"/>
        <v>14.2</v>
      </c>
      <c r="E26" s="534">
        <f t="shared" si="10"/>
        <v>13.7</v>
      </c>
      <c r="F26" s="534">
        <f t="shared" si="10"/>
        <v>13.2</v>
      </c>
      <c r="G26" s="534">
        <f t="shared" si="10"/>
        <v>12.2</v>
      </c>
      <c r="H26" s="534">
        <f t="shared" si="10"/>
        <v>14.2</v>
      </c>
      <c r="I26" s="534">
        <f t="shared" si="10"/>
        <v>15.2</v>
      </c>
      <c r="J26" s="534">
        <f t="shared" si="10"/>
        <v>16.7</v>
      </c>
      <c r="K26" s="534">
        <f t="shared" si="10"/>
        <v>16.2</v>
      </c>
      <c r="L26" s="534">
        <f t="shared" si="10"/>
        <v>15.7</v>
      </c>
      <c r="M26" s="534">
        <f t="shared" si="10"/>
        <v>15.2</v>
      </c>
      <c r="N26" s="535">
        <f t="shared" si="10"/>
        <v>14.7</v>
      </c>
    </row>
    <row r="27" spans="1:14" x14ac:dyDescent="0.2">
      <c r="A27" s="538"/>
      <c r="B27" s="548"/>
      <c r="C27" s="541"/>
      <c r="D27" s="299"/>
      <c r="E27" s="299"/>
      <c r="F27" s="299"/>
      <c r="G27" s="299"/>
      <c r="H27" s="299"/>
      <c r="I27" s="299"/>
      <c r="J27" s="299"/>
      <c r="K27" s="299"/>
      <c r="L27" s="299"/>
      <c r="M27" s="299"/>
      <c r="N27" s="300"/>
    </row>
    <row r="28" spans="1:14" x14ac:dyDescent="0.2">
      <c r="A28" s="539" t="s">
        <v>350</v>
      </c>
      <c r="B28" s="548" t="s">
        <v>357</v>
      </c>
      <c r="C28" s="541"/>
      <c r="D28" s="299"/>
      <c r="E28" s="299"/>
      <c r="F28" s="299"/>
      <c r="G28" s="299"/>
      <c r="H28" s="299"/>
      <c r="I28" s="299"/>
      <c r="J28" s="299"/>
      <c r="K28" s="299"/>
      <c r="L28" s="299"/>
      <c r="M28" s="299"/>
      <c r="N28" s="300"/>
    </row>
    <row r="29" spans="1:14" x14ac:dyDescent="0.2">
      <c r="A29" s="538" t="s">
        <v>352</v>
      </c>
      <c r="B29" s="549">
        <v>0.4</v>
      </c>
      <c r="C29" s="542">
        <f>(C4+C5)*$B$29</f>
        <v>0</v>
      </c>
      <c r="D29" s="531">
        <f t="shared" ref="D29:N29" si="11">(D4+D5)*$B$29</f>
        <v>0</v>
      </c>
      <c r="E29" s="531">
        <f t="shared" si="11"/>
        <v>0</v>
      </c>
      <c r="F29" s="531">
        <f t="shared" si="11"/>
        <v>0</v>
      </c>
      <c r="G29" s="531">
        <f t="shared" si="11"/>
        <v>0</v>
      </c>
      <c r="H29" s="531">
        <f t="shared" si="11"/>
        <v>0</v>
      </c>
      <c r="I29" s="531">
        <f t="shared" si="11"/>
        <v>0</v>
      </c>
      <c r="J29" s="531">
        <f t="shared" si="11"/>
        <v>0</v>
      </c>
      <c r="K29" s="531">
        <f t="shared" si="11"/>
        <v>0</v>
      </c>
      <c r="L29" s="531">
        <f t="shared" si="11"/>
        <v>0</v>
      </c>
      <c r="M29" s="531">
        <f t="shared" si="11"/>
        <v>0</v>
      </c>
      <c r="N29" s="532">
        <f t="shared" si="11"/>
        <v>0</v>
      </c>
    </row>
    <row r="30" spans="1:14" x14ac:dyDescent="0.2">
      <c r="A30" s="538" t="s">
        <v>353</v>
      </c>
      <c r="B30" s="548">
        <v>0</v>
      </c>
      <c r="C30" s="542">
        <f>B30+C29-C31-Trnsf!D8</f>
        <v>0</v>
      </c>
      <c r="D30" s="542">
        <f>C30+D29-D31-Trnsf!E8</f>
        <v>0</v>
      </c>
      <c r="E30" s="542">
        <f>D30+E29-E31-Trnsf!F8</f>
        <v>0</v>
      </c>
      <c r="F30" s="542">
        <f>E30+F29-F31-Trnsf!G8</f>
        <v>0</v>
      </c>
      <c r="G30" s="542">
        <f>F30+G29-G31-Trnsf!H8</f>
        <v>0</v>
      </c>
      <c r="H30" s="542">
        <f>G30+H29-H31-Trnsf!I8</f>
        <v>0</v>
      </c>
      <c r="I30" s="542">
        <f>H30+I29-I31-Trnsf!J8</f>
        <v>0</v>
      </c>
      <c r="J30" s="542">
        <f>I30+J29-J31-Trnsf!K8</f>
        <v>0</v>
      </c>
      <c r="K30" s="542">
        <f>J30+K29-K31-Trnsf!L8</f>
        <v>0</v>
      </c>
      <c r="L30" s="542">
        <f>K30+L29-L31-Trnsf!M8</f>
        <v>0</v>
      </c>
      <c r="M30" s="542">
        <f>L30+M29-M31-Trnsf!N8</f>
        <v>0</v>
      </c>
      <c r="N30" s="532">
        <f>M30+N29-N31-Trnsf!O8</f>
        <v>0</v>
      </c>
    </row>
    <row r="31" spans="1:14" x14ac:dyDescent="0.2">
      <c r="A31" s="538" t="s">
        <v>351</v>
      </c>
      <c r="B31" s="548"/>
      <c r="C31" s="541"/>
      <c r="D31" s="299"/>
      <c r="E31" s="299"/>
      <c r="F31" s="299"/>
      <c r="G31" s="299"/>
      <c r="H31" s="299"/>
      <c r="I31" s="299"/>
      <c r="J31" s="299"/>
      <c r="K31" s="299"/>
      <c r="L31" s="299"/>
      <c r="M31" s="299"/>
      <c r="N31" s="300"/>
    </row>
    <row r="32" spans="1:14" x14ac:dyDescent="0.2">
      <c r="A32" s="538" t="s">
        <v>355</v>
      </c>
      <c r="B32" s="548"/>
      <c r="C32" s="542">
        <f>B32+C31-C33-Trnsf!D7</f>
        <v>0</v>
      </c>
      <c r="D32" s="531">
        <f>C32+D31-D33-Trnsf!E7</f>
        <v>0</v>
      </c>
      <c r="E32" s="531">
        <f>D32+E31-E33-Trnsf!F7</f>
        <v>0</v>
      </c>
      <c r="F32" s="531">
        <f>E32+F31-F33-Trnsf!G7</f>
        <v>0</v>
      </c>
      <c r="G32" s="531">
        <f>F32+G31-G33-Trnsf!H7</f>
        <v>0</v>
      </c>
      <c r="H32" s="531">
        <f>G32+H31-H33-Trnsf!I7</f>
        <v>0</v>
      </c>
      <c r="I32" s="531">
        <f>H32+I31-I33-Trnsf!J7</f>
        <v>0</v>
      </c>
      <c r="J32" s="531">
        <f>I32+J31-J33-Trnsf!K7</f>
        <v>0</v>
      </c>
      <c r="K32" s="531">
        <f>J32+K31-K33-Trnsf!L7</f>
        <v>0</v>
      </c>
      <c r="L32" s="531">
        <f>K32+L31-L33-Trnsf!M7</f>
        <v>0</v>
      </c>
      <c r="M32" s="531">
        <f>L32+M31-M33-Trnsf!N7</f>
        <v>0</v>
      </c>
      <c r="N32" s="532">
        <f>M32+N31-N33-Trnsf!O7</f>
        <v>0</v>
      </c>
    </row>
    <row r="33" spans="1:14" x14ac:dyDescent="0.2">
      <c r="A33" s="538" t="s">
        <v>356</v>
      </c>
      <c r="B33" s="548"/>
      <c r="C33" s="541"/>
      <c r="D33" s="299"/>
      <c r="E33" s="299"/>
      <c r="F33" s="299"/>
      <c r="G33" s="299"/>
      <c r="H33" s="299"/>
      <c r="I33" s="299"/>
      <c r="J33" s="299"/>
      <c r="K33" s="299"/>
      <c r="L33" s="299"/>
      <c r="M33" s="299"/>
      <c r="N33" s="300"/>
    </row>
    <row r="34" spans="1:14" x14ac:dyDescent="0.2">
      <c r="A34" s="538" t="s">
        <v>354</v>
      </c>
      <c r="B34" s="548"/>
      <c r="C34" s="542">
        <f>B34+C33-C5-Trnsf!D6</f>
        <v>0</v>
      </c>
      <c r="D34" s="531">
        <f>C34+D33-D5-Trnsf!E6</f>
        <v>0</v>
      </c>
      <c r="E34" s="531">
        <f>D34+E33-E5-Trnsf!F6</f>
        <v>0</v>
      </c>
      <c r="F34" s="531">
        <f>E34+F33-F5-Trnsf!G6</f>
        <v>0</v>
      </c>
      <c r="G34" s="531">
        <f>F34+G33-G5-Trnsf!H6</f>
        <v>0</v>
      </c>
      <c r="H34" s="531">
        <f>G34+H33-H5-Trnsf!I6</f>
        <v>0</v>
      </c>
      <c r="I34" s="531">
        <f>H34+I33-I5-Trnsf!J6</f>
        <v>0</v>
      </c>
      <c r="J34" s="531">
        <f>I34+J33-J5-Trnsf!K6</f>
        <v>0</v>
      </c>
      <c r="K34" s="531">
        <f>J34+K33-K5-Trnsf!L6</f>
        <v>0</v>
      </c>
      <c r="L34" s="531">
        <f>K34+L33-L5-Trnsf!M6</f>
        <v>0</v>
      </c>
      <c r="M34" s="531">
        <f>L34+M33-M5-Trnsf!N6</f>
        <v>0</v>
      </c>
      <c r="N34" s="532">
        <f>M34+N33-N5-Trnsf!O6</f>
        <v>0</v>
      </c>
    </row>
    <row r="35" spans="1:14" x14ac:dyDescent="0.2">
      <c r="A35" s="538" t="s">
        <v>440</v>
      </c>
      <c r="B35" s="548"/>
      <c r="C35" s="542">
        <f>C30+C32+C34</f>
        <v>0</v>
      </c>
      <c r="D35" s="531">
        <f t="shared" ref="D35:N35" si="12">D30+D32+D34</f>
        <v>0</v>
      </c>
      <c r="E35" s="531">
        <f t="shared" si="12"/>
        <v>0</v>
      </c>
      <c r="F35" s="531">
        <f t="shared" si="12"/>
        <v>0</v>
      </c>
      <c r="G35" s="531">
        <f t="shared" si="12"/>
        <v>0</v>
      </c>
      <c r="H35" s="531">
        <f t="shared" si="12"/>
        <v>0</v>
      </c>
      <c r="I35" s="531">
        <f t="shared" si="12"/>
        <v>0</v>
      </c>
      <c r="J35" s="531">
        <f t="shared" si="12"/>
        <v>0</v>
      </c>
      <c r="K35" s="531">
        <f t="shared" si="12"/>
        <v>0</v>
      </c>
      <c r="L35" s="531">
        <f t="shared" si="12"/>
        <v>0</v>
      </c>
      <c r="M35" s="531">
        <f t="shared" si="12"/>
        <v>0</v>
      </c>
      <c r="N35" s="532">
        <f t="shared" si="12"/>
        <v>0</v>
      </c>
    </row>
    <row r="36" spans="1:14" x14ac:dyDescent="0.2">
      <c r="A36" s="539" t="s">
        <v>439</v>
      </c>
      <c r="B36" s="548"/>
      <c r="C36" s="541"/>
      <c r="D36" s="299"/>
      <c r="E36" s="299"/>
      <c r="F36" s="299"/>
      <c r="G36" s="299"/>
      <c r="H36" s="299"/>
      <c r="I36" s="299"/>
      <c r="J36" s="299"/>
      <c r="K36" s="299"/>
      <c r="L36" s="299"/>
      <c r="M36" s="299"/>
      <c r="N36" s="300"/>
    </row>
    <row r="37" spans="1:14" x14ac:dyDescent="0.2">
      <c r="A37" s="538" t="str">
        <f>A32</f>
        <v>Post-Weaned Heifers</v>
      </c>
      <c r="B37" s="548"/>
      <c r="C37" s="541">
        <v>0</v>
      </c>
      <c r="D37" s="299">
        <v>0</v>
      </c>
      <c r="E37" s="299">
        <v>0</v>
      </c>
      <c r="F37" s="299">
        <v>0</v>
      </c>
      <c r="G37" s="299">
        <v>0</v>
      </c>
      <c r="H37" s="299">
        <v>0</v>
      </c>
      <c r="I37" s="299">
        <v>0</v>
      </c>
      <c r="J37" s="299">
        <v>0</v>
      </c>
      <c r="K37" s="299">
        <v>0</v>
      </c>
      <c r="L37" s="299">
        <v>0</v>
      </c>
      <c r="M37" s="299">
        <v>0</v>
      </c>
      <c r="N37" s="300">
        <v>0</v>
      </c>
    </row>
    <row r="38" spans="1:14" x14ac:dyDescent="0.2">
      <c r="A38" s="538" t="str">
        <f>A34</f>
        <v>Heifers in Calf</v>
      </c>
      <c r="B38" s="548"/>
      <c r="C38" s="541">
        <v>0</v>
      </c>
      <c r="D38" s="299">
        <f t="shared" ref="D38:N38" si="13">C38</f>
        <v>0</v>
      </c>
      <c r="E38" s="299">
        <f t="shared" si="13"/>
        <v>0</v>
      </c>
      <c r="F38" s="299">
        <v>0</v>
      </c>
      <c r="G38" s="299">
        <f t="shared" si="13"/>
        <v>0</v>
      </c>
      <c r="H38" s="299">
        <f t="shared" si="13"/>
        <v>0</v>
      </c>
      <c r="I38" s="299">
        <v>0</v>
      </c>
      <c r="J38" s="299">
        <v>0</v>
      </c>
      <c r="K38" s="299">
        <v>0</v>
      </c>
      <c r="L38" s="299">
        <f t="shared" si="13"/>
        <v>0</v>
      </c>
      <c r="M38" s="299">
        <f t="shared" si="13"/>
        <v>0</v>
      </c>
      <c r="N38" s="300">
        <f t="shared" si="13"/>
        <v>0</v>
      </c>
    </row>
    <row r="39" spans="1:14" x14ac:dyDescent="0.2">
      <c r="A39" s="538"/>
      <c r="B39" s="548"/>
      <c r="C39" s="541"/>
      <c r="D39" s="299"/>
      <c r="E39" s="299"/>
      <c r="F39" s="299"/>
      <c r="G39" s="299"/>
      <c r="H39" s="299"/>
      <c r="I39" s="299"/>
      <c r="J39" s="299"/>
      <c r="K39" s="299"/>
      <c r="L39" s="299"/>
      <c r="M39" s="299"/>
      <c r="N39" s="300"/>
    </row>
    <row r="40" spans="1:14" x14ac:dyDescent="0.2">
      <c r="A40" s="538"/>
      <c r="B40" s="548"/>
      <c r="C40" s="541"/>
      <c r="D40" s="299"/>
      <c r="E40" s="299"/>
      <c r="F40" s="299"/>
      <c r="G40" s="299"/>
      <c r="H40" s="299"/>
      <c r="I40" s="299"/>
      <c r="J40" s="299"/>
      <c r="K40" s="299"/>
      <c r="L40" s="299"/>
      <c r="M40" s="299"/>
      <c r="N40" s="300"/>
    </row>
    <row r="41" spans="1:14" x14ac:dyDescent="0.2">
      <c r="A41" s="538"/>
      <c r="B41" s="548"/>
      <c r="C41" s="541"/>
      <c r="D41" s="299"/>
      <c r="E41" s="299"/>
      <c r="F41" s="299"/>
      <c r="G41" s="299"/>
      <c r="H41" s="299"/>
      <c r="I41" s="299"/>
      <c r="J41" s="299"/>
      <c r="K41" s="299"/>
      <c r="L41" s="299"/>
      <c r="M41" s="299"/>
      <c r="N41" s="300"/>
    </row>
    <row r="42" spans="1:14" x14ac:dyDescent="0.2">
      <c r="A42" s="538"/>
      <c r="B42" s="548"/>
      <c r="C42" s="541"/>
      <c r="D42" s="299"/>
      <c r="E42" s="299"/>
      <c r="F42" s="299"/>
      <c r="G42" s="299"/>
      <c r="H42" s="299"/>
      <c r="I42" s="299"/>
      <c r="J42" s="299"/>
      <c r="K42" s="299"/>
      <c r="L42" s="299"/>
      <c r="M42" s="299"/>
      <c r="N42" s="300"/>
    </row>
    <row r="43" spans="1:14" x14ac:dyDescent="0.2">
      <c r="A43" s="538"/>
      <c r="B43" s="548"/>
      <c r="C43" s="541"/>
      <c r="D43" s="299"/>
      <c r="E43" s="299"/>
      <c r="F43" s="299"/>
      <c r="G43" s="299"/>
      <c r="H43" s="299"/>
      <c r="I43" s="299"/>
      <c r="J43" s="299"/>
      <c r="K43" s="299"/>
      <c r="L43" s="299"/>
      <c r="M43" s="299"/>
      <c r="N43" s="300"/>
    </row>
    <row r="44" spans="1:14" x14ac:dyDescent="0.2">
      <c r="A44" s="538"/>
      <c r="B44" s="548"/>
      <c r="C44" s="541"/>
      <c r="D44" s="299"/>
      <c r="E44" s="299"/>
      <c r="F44" s="299"/>
      <c r="G44" s="299"/>
      <c r="H44" s="299"/>
      <c r="I44" s="299"/>
      <c r="J44" s="299"/>
      <c r="K44" s="299"/>
      <c r="L44" s="299"/>
      <c r="M44" s="299"/>
      <c r="N44" s="30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9F790-2A8B-4C1D-B6CC-BCE2E73B53C1}">
  <sheetPr>
    <tabColor rgb="FFFF0000"/>
  </sheetPr>
  <dimension ref="B1:AK112"/>
  <sheetViews>
    <sheetView topLeftCell="D41" zoomScaleNormal="100" workbookViewId="0">
      <selection activeCell="K52" sqref="K52"/>
    </sheetView>
  </sheetViews>
  <sheetFormatPr defaultColWidth="8.1640625" defaultRowHeight="12.75" x14ac:dyDescent="0.2"/>
  <cols>
    <col min="1" max="1" width="1.1640625" style="2" customWidth="1"/>
    <col min="2" max="2" width="2.33203125" style="2" customWidth="1"/>
    <col min="3" max="3" width="26.5" style="2" customWidth="1"/>
    <col min="4" max="4" width="13.6640625" style="2" customWidth="1"/>
    <col min="5" max="17" width="12.83203125" style="2" customWidth="1"/>
    <col min="18" max="18" width="4.6640625" style="2" customWidth="1"/>
    <col min="19" max="19" width="10.33203125" style="2" customWidth="1"/>
    <col min="20" max="20" width="12.1640625" style="2" hidden="1" customWidth="1"/>
    <col min="21" max="21" width="22.1640625" style="2" hidden="1" customWidth="1"/>
    <col min="22" max="22" width="14" style="2" hidden="1" customWidth="1"/>
    <col min="23" max="23" width="27.6640625" style="2" hidden="1" customWidth="1"/>
    <col min="24" max="24" width="9.6640625" style="2" hidden="1" customWidth="1"/>
    <col min="25" max="35" width="9.1640625" style="2" hidden="1" customWidth="1"/>
    <col min="36" max="36" width="12.5" style="2" hidden="1" customWidth="1"/>
    <col min="37" max="37" width="10.1640625" style="2" hidden="1" customWidth="1"/>
    <col min="38" max="38" width="0" style="2" hidden="1" customWidth="1"/>
    <col min="39" max="16384" width="8.1640625" style="2"/>
  </cols>
  <sheetData>
    <row r="1" spans="2:17" ht="18.75" x14ac:dyDescent="0.3">
      <c r="B1" s="836" t="s">
        <v>282</v>
      </c>
      <c r="C1" s="836"/>
      <c r="D1" s="836"/>
      <c r="E1" s="836"/>
      <c r="F1" s="836"/>
      <c r="G1" s="836"/>
      <c r="H1" s="836"/>
      <c r="I1" s="836"/>
      <c r="J1" s="836"/>
      <c r="K1" s="836"/>
      <c r="L1" s="836"/>
      <c r="M1" s="836"/>
      <c r="N1" s="836"/>
      <c r="O1" s="836"/>
      <c r="P1" s="836"/>
      <c r="Q1" s="836"/>
    </row>
    <row r="2" spans="2:17" ht="24" customHeight="1" x14ac:dyDescent="0.25">
      <c r="B2" s="837" t="s">
        <v>175</v>
      </c>
      <c r="C2" s="837"/>
    </row>
    <row r="3" spans="2:17" ht="24" customHeight="1" thickBot="1" x14ac:dyDescent="0.3">
      <c r="B3" s="285"/>
    </row>
    <row r="4" spans="2:17" x14ac:dyDescent="0.2">
      <c r="B4" s="93" t="s">
        <v>107</v>
      </c>
      <c r="C4" s="94"/>
      <c r="D4" s="94"/>
      <c r="E4" s="94"/>
      <c r="F4" s="94"/>
      <c r="G4" s="94"/>
      <c r="H4" s="94"/>
      <c r="I4" s="94"/>
      <c r="J4" s="94"/>
      <c r="K4" s="94"/>
      <c r="L4" s="94"/>
      <c r="M4" s="94"/>
      <c r="N4" s="94"/>
      <c r="O4" s="94"/>
      <c r="P4" s="94"/>
      <c r="Q4" s="95"/>
    </row>
    <row r="5" spans="2:17" x14ac:dyDescent="0.2">
      <c r="B5" s="37"/>
      <c r="C5" s="14" t="s">
        <v>108</v>
      </c>
      <c r="D5" s="14"/>
      <c r="E5" s="14"/>
      <c r="F5" s="14"/>
      <c r="G5" s="478"/>
      <c r="H5" s="478"/>
      <c r="I5" s="14"/>
      <c r="J5" s="14"/>
      <c r="K5" s="14"/>
      <c r="L5" s="14"/>
      <c r="M5" s="14"/>
      <c r="N5" s="14"/>
      <c r="O5" s="14"/>
      <c r="P5" s="14"/>
      <c r="Q5" s="96"/>
    </row>
    <row r="6" spans="2:17" x14ac:dyDescent="0.2">
      <c r="B6" s="97"/>
      <c r="C6" s="98" t="s">
        <v>109</v>
      </c>
      <c r="D6" s="98"/>
      <c r="E6" s="36"/>
      <c r="F6" s="36"/>
      <c r="G6" s="476">
        <v>450</v>
      </c>
      <c r="H6" s="98" t="s">
        <v>43</v>
      </c>
      <c r="I6" s="99"/>
      <c r="J6" s="14"/>
      <c r="K6" s="14"/>
      <c r="L6" s="14"/>
      <c r="M6" s="14"/>
      <c r="N6" s="14"/>
      <c r="O6" s="14"/>
      <c r="P6" s="14"/>
      <c r="Q6" s="96"/>
    </row>
    <row r="7" spans="2:17" x14ac:dyDescent="0.2">
      <c r="B7" s="97"/>
      <c r="C7" s="98" t="s">
        <v>110</v>
      </c>
      <c r="D7" s="14"/>
      <c r="E7" s="98"/>
      <c r="F7" s="99"/>
      <c r="G7" s="477">
        <v>0.7</v>
      </c>
      <c r="H7" s="14"/>
      <c r="I7" s="100"/>
      <c r="J7" s="14"/>
      <c r="K7" s="14"/>
      <c r="L7" s="14"/>
      <c r="M7" s="101"/>
      <c r="N7" s="14"/>
      <c r="O7" s="14"/>
      <c r="P7" s="14"/>
      <c r="Q7" s="96"/>
    </row>
    <row r="8" spans="2:17" x14ac:dyDescent="0.2">
      <c r="B8" s="97"/>
      <c r="C8" s="14" t="s">
        <v>111</v>
      </c>
      <c r="D8" s="14"/>
      <c r="E8" s="98"/>
      <c r="F8" s="99"/>
      <c r="G8" s="478">
        <v>12500</v>
      </c>
      <c r="H8" s="14" t="s">
        <v>43</v>
      </c>
      <c r="I8" s="100"/>
      <c r="J8" s="14"/>
      <c r="K8" s="14"/>
      <c r="L8" s="14"/>
      <c r="M8" s="101"/>
      <c r="N8" s="14"/>
      <c r="O8" s="14"/>
      <c r="P8" s="14"/>
      <c r="Q8" s="96"/>
    </row>
    <row r="9" spans="2:17" ht="13.5" thickBot="1" x14ac:dyDescent="0.25">
      <c r="B9" s="102"/>
      <c r="C9" s="103"/>
      <c r="D9" s="103"/>
      <c r="E9" s="104"/>
      <c r="F9" s="105"/>
      <c r="G9" s="103"/>
      <c r="H9" s="103"/>
      <c r="I9" s="106"/>
      <c r="J9" s="103"/>
      <c r="K9" s="103"/>
      <c r="L9" s="103"/>
      <c r="M9" s="107"/>
      <c r="N9" s="103"/>
      <c r="O9" s="103"/>
      <c r="P9" s="103"/>
      <c r="Q9" s="108"/>
    </row>
    <row r="10" spans="2:17" ht="6.75" customHeight="1" thickBot="1" x14ac:dyDescent="0.25">
      <c r="E10" s="25"/>
    </row>
    <row r="11" spans="2:17" x14ac:dyDescent="0.2">
      <c r="B11" s="26" t="s">
        <v>1</v>
      </c>
      <c r="C11" s="27"/>
      <c r="D11" s="28"/>
      <c r="E11" s="19" t="str">
        <f>Summary!D5</f>
        <v>Mar</v>
      </c>
      <c r="F11" s="19" t="str">
        <f>Summary!E5</f>
        <v>Apr</v>
      </c>
      <c r="G11" s="19" t="str">
        <f>Summary!F5</f>
        <v>May</v>
      </c>
      <c r="H11" s="19" t="str">
        <f>Summary!G5</f>
        <v>Jun</v>
      </c>
      <c r="I11" s="19" t="str">
        <f>Summary!H5</f>
        <v>Jul</v>
      </c>
      <c r="J11" s="19" t="str">
        <f>Summary!I5</f>
        <v>Aug</v>
      </c>
      <c r="K11" s="19" t="str">
        <f>Summary!J5</f>
        <v>Sep</v>
      </c>
      <c r="L11" s="19" t="str">
        <f>Summary!K5</f>
        <v>Oct</v>
      </c>
      <c r="M11" s="19" t="str">
        <f>Summary!L5</f>
        <v>Nov</v>
      </c>
      <c r="N11" s="19" t="str">
        <f>Summary!M5</f>
        <v>Dec</v>
      </c>
      <c r="O11" s="19" t="str">
        <f>Summary!N5</f>
        <v>Jan</v>
      </c>
      <c r="P11" s="19" t="str">
        <f>Summary!O5</f>
        <v>Feb</v>
      </c>
      <c r="Q11" s="29"/>
    </row>
    <row r="12" spans="2:17" x14ac:dyDescent="0.2">
      <c r="B12" s="30" t="s">
        <v>18</v>
      </c>
      <c r="C12" s="31"/>
      <c r="D12" s="32"/>
      <c r="E12" s="33">
        <f>'P1 Bal'!E12</f>
        <v>31</v>
      </c>
      <c r="F12" s="33">
        <f>'P1 Bal'!F12</f>
        <v>30</v>
      </c>
      <c r="G12" s="33">
        <f>'P1 Bal'!G12</f>
        <v>31</v>
      </c>
      <c r="H12" s="33">
        <f>'P1 Bal'!H12</f>
        <v>30</v>
      </c>
      <c r="I12" s="33">
        <f>'P1 Bal'!I12</f>
        <v>31</v>
      </c>
      <c r="J12" s="33">
        <f>'P1 Bal'!J12</f>
        <v>31</v>
      </c>
      <c r="K12" s="33">
        <f>'P1 Bal'!K12</f>
        <v>30</v>
      </c>
      <c r="L12" s="33">
        <f>'P1 Bal'!L12</f>
        <v>31</v>
      </c>
      <c r="M12" s="33">
        <f>'P1 Bal'!M12</f>
        <v>30</v>
      </c>
      <c r="N12" s="33">
        <f>'P1 Bal'!N12</f>
        <v>31</v>
      </c>
      <c r="O12" s="33">
        <f>'P1 Bal'!O12</f>
        <v>31</v>
      </c>
      <c r="P12" s="33">
        <f>'P1 Bal'!P12</f>
        <v>28</v>
      </c>
      <c r="Q12" s="34">
        <f>SUM(E12:P12)</f>
        <v>365</v>
      </c>
    </row>
    <row r="13" spans="2:17" ht="15.75" x14ac:dyDescent="0.25">
      <c r="B13" s="35" t="s">
        <v>33</v>
      </c>
      <c r="C13" s="109"/>
      <c r="D13" s="110"/>
      <c r="E13" s="111"/>
      <c r="F13" s="111"/>
      <c r="G13" s="111"/>
      <c r="H13" s="111"/>
      <c r="I13" s="111"/>
      <c r="J13" s="111"/>
      <c r="K13" s="111"/>
      <c r="L13" s="111"/>
      <c r="M13" s="111"/>
      <c r="N13" s="111"/>
      <c r="O13" s="111"/>
      <c r="P13" s="111"/>
      <c r="Q13" s="112" t="s">
        <v>34</v>
      </c>
    </row>
    <row r="14" spans="2:17" x14ac:dyDescent="0.2">
      <c r="B14" s="37"/>
      <c r="C14" s="113" t="str">
        <f>'P2 Area'!P7</f>
        <v>Irr - Hi - Pasture</v>
      </c>
      <c r="D14" s="114" t="s">
        <v>22</v>
      </c>
      <c r="E14" s="115">
        <f>'P2 Area'!Q7</f>
        <v>0</v>
      </c>
      <c r="F14" s="115">
        <f>'P2 Area'!R7</f>
        <v>0</v>
      </c>
      <c r="G14" s="115">
        <f>'P2 Area'!S7</f>
        <v>0</v>
      </c>
      <c r="H14" s="115">
        <f>'P2 Area'!T7</f>
        <v>0</v>
      </c>
      <c r="I14" s="115">
        <f>'P2 Area'!U7</f>
        <v>0</v>
      </c>
      <c r="J14" s="115">
        <f>'P2 Area'!V7</f>
        <v>0</v>
      </c>
      <c r="K14" s="115">
        <f>'P2 Area'!W7</f>
        <v>0</v>
      </c>
      <c r="L14" s="115">
        <f>'P2 Area'!X7</f>
        <v>0</v>
      </c>
      <c r="M14" s="115">
        <f>'P2 Area'!Y7</f>
        <v>0</v>
      </c>
      <c r="N14" s="115">
        <f>'P2 Area'!Z7</f>
        <v>0</v>
      </c>
      <c r="O14" s="115">
        <f>'P2 Area'!AA7</f>
        <v>0</v>
      </c>
      <c r="P14" s="115">
        <f>'P2 Area'!AB7</f>
        <v>0</v>
      </c>
      <c r="Q14" s="116">
        <f>(E14*E$12+F14*F$12+G14*G$12+H14*H$12+I14*I$12+J14*J$12+K14*K$12+L14*L$12+M14*M$12+N14*N$12+O14*O$12+P14*P$12)/365</f>
        <v>0</v>
      </c>
    </row>
    <row r="15" spans="2:17" x14ac:dyDescent="0.2">
      <c r="B15" s="37"/>
      <c r="C15" s="113" t="str">
        <f>'P2 Area'!P8</f>
        <v>Irr - Med - Pasture</v>
      </c>
      <c r="D15" s="114" t="s">
        <v>22</v>
      </c>
      <c r="E15" s="115">
        <f>'P2 Area'!Q8</f>
        <v>0</v>
      </c>
      <c r="F15" s="115">
        <f>'P2 Area'!R8</f>
        <v>0</v>
      </c>
      <c r="G15" s="115">
        <f>'P2 Area'!S8</f>
        <v>0</v>
      </c>
      <c r="H15" s="115">
        <f>'P2 Area'!T8</f>
        <v>0</v>
      </c>
      <c r="I15" s="115">
        <f>'P2 Area'!U8</f>
        <v>0</v>
      </c>
      <c r="J15" s="115">
        <f>'P2 Area'!V8</f>
        <v>0</v>
      </c>
      <c r="K15" s="115">
        <f>'P2 Area'!W8</f>
        <v>0</v>
      </c>
      <c r="L15" s="115">
        <f>'P2 Area'!X8</f>
        <v>0</v>
      </c>
      <c r="M15" s="115">
        <f>'P2 Area'!Y8</f>
        <v>0</v>
      </c>
      <c r="N15" s="115">
        <f>'P2 Area'!Z8</f>
        <v>0</v>
      </c>
      <c r="O15" s="115">
        <f>'P2 Area'!AA8</f>
        <v>0</v>
      </c>
      <c r="P15" s="115">
        <f>'P2 Area'!AB8</f>
        <v>0</v>
      </c>
      <c r="Q15" s="116">
        <f>(E15*E$12+F15*F$12+G15*G$12+H15*H$12+I15*I$12+J15*J$12+K15*K$12+L15*L$12+M15*M$12+N15*N$12+O15*O$12+P15*P$12)/365</f>
        <v>0</v>
      </c>
    </row>
    <row r="16" spans="2:17" x14ac:dyDescent="0.2">
      <c r="B16" s="37"/>
      <c r="C16" s="113" t="str">
        <f>'P2 Area'!P9</f>
        <v>Irr - Lo - Pasture</v>
      </c>
      <c r="D16" s="114" t="s">
        <v>22</v>
      </c>
      <c r="E16" s="115">
        <f>'P2 Area'!Q9</f>
        <v>0</v>
      </c>
      <c r="F16" s="115">
        <f>'P2 Area'!R9</f>
        <v>0</v>
      </c>
      <c r="G16" s="115">
        <f>'P2 Area'!S9</f>
        <v>0</v>
      </c>
      <c r="H16" s="115">
        <f>'P2 Area'!T9</f>
        <v>0</v>
      </c>
      <c r="I16" s="115">
        <f>'P2 Area'!U9</f>
        <v>0</v>
      </c>
      <c r="J16" s="115">
        <f>'P2 Area'!V9</f>
        <v>0</v>
      </c>
      <c r="K16" s="115">
        <f>'P2 Area'!W9</f>
        <v>0</v>
      </c>
      <c r="L16" s="115">
        <f>'P2 Area'!X9</f>
        <v>0</v>
      </c>
      <c r="M16" s="115">
        <f>'P2 Area'!Y9</f>
        <v>0</v>
      </c>
      <c r="N16" s="115">
        <f>'P2 Area'!Z9</f>
        <v>0</v>
      </c>
      <c r="O16" s="115">
        <f>'P2 Area'!AA9</f>
        <v>0</v>
      </c>
      <c r="P16" s="115">
        <f>'P2 Area'!AB9</f>
        <v>0</v>
      </c>
      <c r="Q16" s="116">
        <f>(E16*E$12+F16*F$12+G16*G$12+H16*H$12+I16*I$12+J16*J$12+K16*K$12+L16*L$12+M16*M$12+N16*N$12+O16*O$12+P16*P$12)/365</f>
        <v>0</v>
      </c>
    </row>
    <row r="17" spans="2:37" x14ac:dyDescent="0.2">
      <c r="B17" s="37"/>
      <c r="C17" s="113" t="str">
        <f>'P2 Area'!P10</f>
        <v>Dry - Pasture 1</v>
      </c>
      <c r="D17" s="114" t="s">
        <v>22</v>
      </c>
      <c r="E17" s="115">
        <f>'P2 Area'!Q10</f>
        <v>0</v>
      </c>
      <c r="F17" s="115">
        <f>'P2 Area'!R10</f>
        <v>0</v>
      </c>
      <c r="G17" s="115">
        <f>'P2 Area'!S10</f>
        <v>0</v>
      </c>
      <c r="H17" s="115">
        <f>'P2 Area'!T10</f>
        <v>0</v>
      </c>
      <c r="I17" s="115">
        <f>'P2 Area'!U10</f>
        <v>0</v>
      </c>
      <c r="J17" s="115">
        <f>'P2 Area'!V10</f>
        <v>0</v>
      </c>
      <c r="K17" s="115">
        <f>'P2 Area'!W10</f>
        <v>0</v>
      </c>
      <c r="L17" s="115">
        <f>'P2 Area'!X10</f>
        <v>0</v>
      </c>
      <c r="M17" s="115">
        <f>'P2 Area'!Y10</f>
        <v>0</v>
      </c>
      <c r="N17" s="115">
        <f>'P2 Area'!Z10</f>
        <v>0</v>
      </c>
      <c r="O17" s="115">
        <f>'P2 Area'!AA10</f>
        <v>0</v>
      </c>
      <c r="P17" s="115">
        <f>'P2 Area'!AB10</f>
        <v>0</v>
      </c>
      <c r="Q17" s="116">
        <f>(E17*E$12+F17*F$12+G17*G$12+H17*H$12+I17*I$12+J17*J$12+K17*K$12+L17*L$12+M17*M$12+N17*N$12+O17*O$12+P17*P$12)/365</f>
        <v>0</v>
      </c>
    </row>
    <row r="18" spans="2:37" x14ac:dyDescent="0.2">
      <c r="B18" s="37"/>
      <c r="C18" s="113" t="str">
        <f>'P2 Area'!P11</f>
        <v>Dry - Pasture 2</v>
      </c>
      <c r="D18" s="114" t="s">
        <v>22</v>
      </c>
      <c r="E18" s="115">
        <f>'P2 Area'!Q11</f>
        <v>0</v>
      </c>
      <c r="F18" s="115">
        <f>'P2 Area'!R11</f>
        <v>0</v>
      </c>
      <c r="G18" s="115">
        <f>'P2 Area'!S11</f>
        <v>0</v>
      </c>
      <c r="H18" s="115">
        <f>'P2 Area'!T11</f>
        <v>0</v>
      </c>
      <c r="I18" s="115">
        <f>'P2 Area'!U11</f>
        <v>0</v>
      </c>
      <c r="J18" s="115">
        <f>'P2 Area'!V11</f>
        <v>0</v>
      </c>
      <c r="K18" s="115">
        <f>'P2 Area'!W11</f>
        <v>0</v>
      </c>
      <c r="L18" s="115">
        <f>'P2 Area'!X11</f>
        <v>0</v>
      </c>
      <c r="M18" s="115">
        <f>'P2 Area'!Y11</f>
        <v>0</v>
      </c>
      <c r="N18" s="115">
        <f>'P2 Area'!Z11</f>
        <v>0</v>
      </c>
      <c r="O18" s="115">
        <f>'P2 Area'!AA11</f>
        <v>0</v>
      </c>
      <c r="P18" s="115">
        <f>'P2 Area'!AB11</f>
        <v>0</v>
      </c>
      <c r="Q18" s="116">
        <f t="shared" ref="Q18:Q20" si="0">(E18*E$12+F18*F$12+G18*G$12+H18*H$12+I18*I$12+J18*J$12+K18*K$12+L18*L$12+M18*M$12+N18*N$12+O18*O$12+P18*P$12)/365</f>
        <v>0</v>
      </c>
    </row>
    <row r="19" spans="2:37" x14ac:dyDescent="0.2">
      <c r="B19" s="37"/>
      <c r="C19" s="113"/>
      <c r="D19" s="114" t="s">
        <v>22</v>
      </c>
      <c r="E19" s="115"/>
      <c r="F19" s="115"/>
      <c r="G19" s="115"/>
      <c r="H19" s="115"/>
      <c r="I19" s="115"/>
      <c r="J19" s="115"/>
      <c r="K19" s="115"/>
      <c r="L19" s="115"/>
      <c r="M19" s="115"/>
      <c r="N19" s="115"/>
      <c r="O19" s="115"/>
      <c r="P19" s="115"/>
      <c r="Q19" s="116">
        <f t="shared" si="0"/>
        <v>0</v>
      </c>
    </row>
    <row r="20" spans="2:37" x14ac:dyDescent="0.2">
      <c r="B20" s="37"/>
      <c r="C20" s="113"/>
      <c r="D20" s="114" t="s">
        <v>22</v>
      </c>
      <c r="E20" s="115"/>
      <c r="F20" s="115"/>
      <c r="G20" s="115"/>
      <c r="H20" s="115"/>
      <c r="I20" s="115"/>
      <c r="J20" s="115"/>
      <c r="K20" s="115"/>
      <c r="L20" s="115"/>
      <c r="M20" s="115"/>
      <c r="N20" s="115"/>
      <c r="O20" s="115"/>
      <c r="P20" s="115"/>
      <c r="Q20" s="116">
        <f t="shared" si="0"/>
        <v>0</v>
      </c>
    </row>
    <row r="21" spans="2:37" ht="13.5" thickBot="1" x14ac:dyDescent="0.25">
      <c r="B21" s="37"/>
      <c r="C21" s="117" t="s">
        <v>441</v>
      </c>
      <c r="D21" s="118" t="s">
        <v>22</v>
      </c>
      <c r="E21" s="119">
        <f t="shared" ref="E21:P21" si="1">SUM(E14:E18)</f>
        <v>0</v>
      </c>
      <c r="F21" s="119">
        <f t="shared" si="1"/>
        <v>0</v>
      </c>
      <c r="G21" s="119">
        <f t="shared" si="1"/>
        <v>0</v>
      </c>
      <c r="H21" s="119">
        <f t="shared" si="1"/>
        <v>0</v>
      </c>
      <c r="I21" s="119">
        <f t="shared" si="1"/>
        <v>0</v>
      </c>
      <c r="J21" s="119">
        <f t="shared" si="1"/>
        <v>0</v>
      </c>
      <c r="K21" s="119">
        <f t="shared" si="1"/>
        <v>0</v>
      </c>
      <c r="L21" s="119">
        <f t="shared" si="1"/>
        <v>0</v>
      </c>
      <c r="M21" s="119">
        <f t="shared" si="1"/>
        <v>0</v>
      </c>
      <c r="N21" s="119">
        <f t="shared" si="1"/>
        <v>0</v>
      </c>
      <c r="O21" s="119">
        <f t="shared" si="1"/>
        <v>0</v>
      </c>
      <c r="P21" s="119">
        <f t="shared" si="1"/>
        <v>0</v>
      </c>
      <c r="Q21" s="120">
        <f>SUM(Q14:Q20)</f>
        <v>0</v>
      </c>
    </row>
    <row r="22" spans="2:37" ht="20.25" customHeight="1" thickBot="1" x14ac:dyDescent="0.25">
      <c r="B22" s="121" t="s">
        <v>84</v>
      </c>
      <c r="C22" s="38"/>
      <c r="D22" s="238"/>
      <c r="E22" s="39"/>
      <c r="F22" s="39"/>
      <c r="G22" s="39"/>
      <c r="H22" s="39"/>
      <c r="I22" s="39"/>
      <c r="J22" s="39"/>
      <c r="K22" s="39"/>
      <c r="L22" s="39"/>
      <c r="M22" s="39"/>
      <c r="N22" s="39"/>
      <c r="O22" s="39"/>
      <c r="P22" s="39"/>
      <c r="Q22" s="239"/>
    </row>
    <row r="23" spans="2:37" ht="25.5" x14ac:dyDescent="0.2">
      <c r="B23" s="40" t="s">
        <v>183</v>
      </c>
      <c r="C23" s="41"/>
      <c r="D23" s="41"/>
      <c r="E23" s="41"/>
      <c r="F23" s="41"/>
      <c r="G23" s="41"/>
      <c r="H23" s="41"/>
      <c r="I23" s="41"/>
      <c r="J23" s="41"/>
      <c r="K23" s="41"/>
      <c r="L23" s="41"/>
      <c r="M23" s="41"/>
      <c r="N23" s="41"/>
      <c r="O23" s="41"/>
      <c r="P23" s="41"/>
      <c r="Q23" s="240" t="s">
        <v>26</v>
      </c>
      <c r="S23" s="43"/>
      <c r="U23" s="19" t="s">
        <v>104</v>
      </c>
      <c r="V23" s="86" t="s">
        <v>103</v>
      </c>
      <c r="W23" s="19"/>
      <c r="X23" s="19" t="s">
        <v>2</v>
      </c>
      <c r="Y23" s="19" t="s">
        <v>3</v>
      </c>
      <c r="Z23" s="19" t="s">
        <v>4</v>
      </c>
      <c r="AA23" s="19" t="s">
        <v>5</v>
      </c>
      <c r="AB23" s="19" t="s">
        <v>6</v>
      </c>
      <c r="AC23" s="19" t="s">
        <v>7</v>
      </c>
      <c r="AD23" s="19" t="s">
        <v>8</v>
      </c>
      <c r="AE23" s="19" t="s">
        <v>9</v>
      </c>
      <c r="AF23" s="19" t="s">
        <v>10</v>
      </c>
      <c r="AG23" s="19" t="s">
        <v>11</v>
      </c>
      <c r="AH23" s="19" t="s">
        <v>12</v>
      </c>
      <c r="AI23" s="19" t="s">
        <v>13</v>
      </c>
      <c r="AJ23" s="86" t="s">
        <v>74</v>
      </c>
      <c r="AK23" s="86" t="s">
        <v>75</v>
      </c>
    </row>
    <row r="24" spans="2:37" x14ac:dyDescent="0.2">
      <c r="B24" s="44"/>
      <c r="C24" s="132" t="str">
        <f>C14</f>
        <v>Irr - Hi - Pasture</v>
      </c>
      <c r="D24" s="126" t="s">
        <v>21</v>
      </c>
      <c r="E24" s="125">
        <f>'P1 Bal'!E24</f>
        <v>45</v>
      </c>
      <c r="F24" s="125">
        <f>'P1 Bal'!F24</f>
        <v>40</v>
      </c>
      <c r="G24" s="125">
        <f>'P1 Bal'!G24</f>
        <v>30</v>
      </c>
      <c r="H24" s="125">
        <v>55</v>
      </c>
      <c r="I24" s="125">
        <f>'P1 Bal'!I24</f>
        <v>30</v>
      </c>
      <c r="J24" s="125">
        <v>45</v>
      </c>
      <c r="K24" s="125">
        <v>45</v>
      </c>
      <c r="L24" s="125">
        <f>'P1 Bal'!L24</f>
        <v>55</v>
      </c>
      <c r="M24" s="125">
        <f>'P1 Bal'!M24</f>
        <v>55</v>
      </c>
      <c r="N24" s="125">
        <f>'P1 Bal'!N24</f>
        <v>50</v>
      </c>
      <c r="O24" s="125">
        <f>'P1 Bal'!O24</f>
        <v>50</v>
      </c>
      <c r="P24" s="125">
        <v>45</v>
      </c>
      <c r="Q24" s="634">
        <f t="shared" ref="Q24:Q30" si="2">(E24*$E$12+F24*$F$12+G24*$G$12+H24*$H$12+I24*$I$12+J24*$J$12+K24*$K$12+L24*$L$12+M24*$M$12+N24*$N$12+O24*$O$12+P24*$P$12)/1000</f>
        <v>16.565000000000001</v>
      </c>
      <c r="S24" s="46"/>
      <c r="U24" s="72" t="s">
        <v>70</v>
      </c>
      <c r="V24" s="68">
        <f>(($G$6+$G$8)*$G$7)*1</f>
        <v>9065</v>
      </c>
      <c r="W24" s="68" t="s">
        <v>105</v>
      </c>
      <c r="X24" s="69">
        <v>1.4999999999999999E-2</v>
      </c>
      <c r="Y24" s="69">
        <v>2.5000000000000001E-2</v>
      </c>
      <c r="Z24" s="69">
        <v>0.05</v>
      </c>
      <c r="AA24" s="69">
        <v>6.5000000000000002E-2</v>
      </c>
      <c r="AB24" s="69">
        <v>7.4999999999999997E-2</v>
      </c>
      <c r="AC24" s="69">
        <v>0.08</v>
      </c>
      <c r="AD24" s="69">
        <v>0.08</v>
      </c>
      <c r="AE24" s="69">
        <v>7.4999999999999997E-2</v>
      </c>
      <c r="AF24" s="69">
        <v>5.5E-2</v>
      </c>
      <c r="AG24" s="69">
        <v>0.03</v>
      </c>
      <c r="AH24" s="69">
        <v>0.02</v>
      </c>
      <c r="AI24" s="73">
        <v>1.4999999999999999E-2</v>
      </c>
      <c r="AJ24" s="23"/>
      <c r="AK24" s="87"/>
    </row>
    <row r="25" spans="2:37" x14ac:dyDescent="0.2">
      <c r="B25" s="44"/>
      <c r="C25" s="132" t="str">
        <f>C15</f>
        <v>Irr - Med - Pasture</v>
      </c>
      <c r="D25" s="128" t="s">
        <v>21</v>
      </c>
      <c r="E25" s="127">
        <v>55</v>
      </c>
      <c r="F25" s="127">
        <v>55</v>
      </c>
      <c r="G25" s="127">
        <v>50</v>
      </c>
      <c r="H25" s="127">
        <v>45</v>
      </c>
      <c r="I25" s="127">
        <v>45</v>
      </c>
      <c r="J25" s="127">
        <v>40</v>
      </c>
      <c r="K25" s="127">
        <f>'P1 Bal'!K25</f>
        <v>25</v>
      </c>
      <c r="L25" s="127">
        <v>30</v>
      </c>
      <c r="M25" s="127">
        <f>'P1 Bal'!M25</f>
        <v>25</v>
      </c>
      <c r="N25" s="127">
        <f>'P1 Bal'!N25</f>
        <v>15</v>
      </c>
      <c r="O25" s="127">
        <f>'P1 Bal'!O25</f>
        <v>10</v>
      </c>
      <c r="P25" s="127">
        <v>35</v>
      </c>
      <c r="Q25" s="633">
        <f t="shared" si="2"/>
        <v>13.074999999999999</v>
      </c>
      <c r="S25" s="46"/>
      <c r="U25" s="77"/>
      <c r="V25" s="78"/>
      <c r="W25" s="78" t="s">
        <v>106</v>
      </c>
      <c r="X25" s="79">
        <f t="shared" ref="X25:AI25" si="3">E24*E12</f>
        <v>1395</v>
      </c>
      <c r="Y25" s="79">
        <f t="shared" si="3"/>
        <v>1200</v>
      </c>
      <c r="Z25" s="79">
        <f t="shared" si="3"/>
        <v>930</v>
      </c>
      <c r="AA25" s="79">
        <f t="shared" si="3"/>
        <v>1650</v>
      </c>
      <c r="AB25" s="79">
        <f t="shared" si="3"/>
        <v>930</v>
      </c>
      <c r="AC25" s="79">
        <f t="shared" si="3"/>
        <v>1395</v>
      </c>
      <c r="AD25" s="79">
        <f t="shared" si="3"/>
        <v>1350</v>
      </c>
      <c r="AE25" s="79">
        <f t="shared" si="3"/>
        <v>1705</v>
      </c>
      <c r="AF25" s="79">
        <f t="shared" si="3"/>
        <v>1650</v>
      </c>
      <c r="AG25" s="79">
        <f t="shared" si="3"/>
        <v>1550</v>
      </c>
      <c r="AH25" s="79">
        <f t="shared" si="3"/>
        <v>1550</v>
      </c>
      <c r="AI25" s="80">
        <f t="shared" si="3"/>
        <v>1260</v>
      </c>
      <c r="AJ25" s="88">
        <f>(SUM(X25:AI25))</f>
        <v>16565</v>
      </c>
      <c r="AK25" s="89">
        <f>AJ25*0.7</f>
        <v>11595.5</v>
      </c>
    </row>
    <row r="26" spans="2:37" x14ac:dyDescent="0.2">
      <c r="B26" s="44"/>
      <c r="C26" s="132" t="str">
        <f>C16</f>
        <v>Irr - Lo - Pasture</v>
      </c>
      <c r="D26" s="128" t="s">
        <v>21</v>
      </c>
      <c r="E26" s="127">
        <v>45</v>
      </c>
      <c r="F26" s="127">
        <v>45</v>
      </c>
      <c r="G26" s="127">
        <v>40</v>
      </c>
      <c r="H26" s="127">
        <v>35</v>
      </c>
      <c r="I26" s="127">
        <v>35</v>
      </c>
      <c r="J26" s="127">
        <v>30</v>
      </c>
      <c r="K26" s="127">
        <v>30</v>
      </c>
      <c r="L26" s="127">
        <v>20</v>
      </c>
      <c r="M26" s="127">
        <v>15</v>
      </c>
      <c r="N26" s="127">
        <v>10</v>
      </c>
      <c r="O26" s="127">
        <v>15</v>
      </c>
      <c r="P26" s="127">
        <v>25</v>
      </c>
      <c r="Q26" s="633">
        <f t="shared" si="2"/>
        <v>10.494999999999999</v>
      </c>
      <c r="S26" s="46"/>
      <c r="U26" s="74" t="s">
        <v>71</v>
      </c>
      <c r="V26" s="70">
        <f>(($G$6*$G$7)*1)</f>
        <v>315</v>
      </c>
      <c r="W26" s="70" t="s">
        <v>105</v>
      </c>
      <c r="X26" s="71">
        <v>1.2999999999999999E-2</v>
      </c>
      <c r="Y26" s="71">
        <v>0.03</v>
      </c>
      <c r="Z26" s="71">
        <v>0.05</v>
      </c>
      <c r="AA26" s="71">
        <v>0.1</v>
      </c>
      <c r="AB26" s="71">
        <v>0.12</v>
      </c>
      <c r="AC26" s="71">
        <v>0.08</v>
      </c>
      <c r="AD26" s="71">
        <v>2.5999999999999999E-2</v>
      </c>
      <c r="AE26" s="71">
        <v>8.9999999999999993E-3</v>
      </c>
      <c r="AF26" s="71">
        <v>1.2999999999999999E-2</v>
      </c>
      <c r="AG26" s="71">
        <v>1.2999999999999999E-2</v>
      </c>
      <c r="AH26" s="71">
        <v>0.02</v>
      </c>
      <c r="AI26" s="75">
        <v>8.9999999999999993E-3</v>
      </c>
      <c r="AJ26" s="90"/>
      <c r="AK26" s="89"/>
    </row>
    <row r="27" spans="2:37" x14ac:dyDescent="0.2">
      <c r="B27" s="44"/>
      <c r="C27" s="132" t="str">
        <f>C17</f>
        <v>Dry - Pasture 1</v>
      </c>
      <c r="D27" s="128" t="s">
        <v>21</v>
      </c>
      <c r="E27" s="127"/>
      <c r="F27" s="127"/>
      <c r="G27" s="127"/>
      <c r="H27" s="127"/>
      <c r="I27" s="127"/>
      <c r="J27" s="127"/>
      <c r="K27" s="127"/>
      <c r="L27" s="127"/>
      <c r="M27" s="127"/>
      <c r="N27" s="127"/>
      <c r="O27" s="127"/>
      <c r="P27" s="127"/>
      <c r="Q27" s="633">
        <f t="shared" si="2"/>
        <v>0</v>
      </c>
      <c r="S27" s="46"/>
      <c r="U27" s="77"/>
      <c r="V27" s="78"/>
      <c r="W27" s="78" t="s">
        <v>106</v>
      </c>
      <c r="X27" s="79">
        <f t="shared" ref="X27:AI27" si="4">E25*E12</f>
        <v>1705</v>
      </c>
      <c r="Y27" s="79">
        <f t="shared" si="4"/>
        <v>1650</v>
      </c>
      <c r="Z27" s="79">
        <f t="shared" si="4"/>
        <v>1550</v>
      </c>
      <c r="AA27" s="79">
        <f t="shared" si="4"/>
        <v>1350</v>
      </c>
      <c r="AB27" s="79">
        <f t="shared" si="4"/>
        <v>1395</v>
      </c>
      <c r="AC27" s="79">
        <f t="shared" si="4"/>
        <v>1240</v>
      </c>
      <c r="AD27" s="79">
        <f t="shared" si="4"/>
        <v>750</v>
      </c>
      <c r="AE27" s="79">
        <f t="shared" si="4"/>
        <v>930</v>
      </c>
      <c r="AF27" s="79">
        <f t="shared" si="4"/>
        <v>750</v>
      </c>
      <c r="AG27" s="79">
        <f t="shared" si="4"/>
        <v>465</v>
      </c>
      <c r="AH27" s="79">
        <f t="shared" si="4"/>
        <v>310</v>
      </c>
      <c r="AI27" s="80">
        <f t="shared" si="4"/>
        <v>980</v>
      </c>
      <c r="AJ27" s="88">
        <f>(SUM(X27:AI27))</f>
        <v>13075</v>
      </c>
      <c r="AK27" s="89">
        <f>AJ27*0.7</f>
        <v>9152.5</v>
      </c>
    </row>
    <row r="28" spans="2:37" x14ac:dyDescent="0.2">
      <c r="B28" s="44"/>
      <c r="C28" s="132" t="str">
        <f>C18</f>
        <v>Dry - Pasture 2</v>
      </c>
      <c r="D28" s="128" t="s">
        <v>21</v>
      </c>
      <c r="E28" s="127"/>
      <c r="F28" s="127"/>
      <c r="G28" s="127"/>
      <c r="H28" s="127"/>
      <c r="I28" s="127"/>
      <c r="J28" s="127"/>
      <c r="K28" s="127"/>
      <c r="L28" s="127"/>
      <c r="M28" s="127"/>
      <c r="N28" s="127"/>
      <c r="O28" s="127"/>
      <c r="P28" s="127"/>
      <c r="Q28" s="633">
        <f t="shared" si="2"/>
        <v>0</v>
      </c>
      <c r="S28" s="46"/>
      <c r="U28" s="76" t="s">
        <v>72</v>
      </c>
      <c r="V28" s="70">
        <f>((($G$6*$G$7)*1))*0.6</f>
        <v>189</v>
      </c>
      <c r="W28" s="70" t="s">
        <v>105</v>
      </c>
      <c r="X28" s="71">
        <v>8.0000000000000002E-3</v>
      </c>
      <c r="Y28" s="71">
        <v>3.2000000000000001E-2</v>
      </c>
      <c r="Z28" s="71">
        <v>7.0000000000000007E-2</v>
      </c>
      <c r="AA28" s="71">
        <v>0.1</v>
      </c>
      <c r="AB28" s="71">
        <v>0.14000000000000001</v>
      </c>
      <c r="AC28" s="71">
        <v>0.05</v>
      </c>
      <c r="AD28" s="71">
        <v>1.2999999999999999E-2</v>
      </c>
      <c r="AE28" s="71">
        <v>1.2999999999999999E-2</v>
      </c>
      <c r="AF28" s="71">
        <v>1.2999999999999999E-2</v>
      </c>
      <c r="AG28" s="71">
        <v>2.1999999999999999E-2</v>
      </c>
      <c r="AH28" s="71">
        <v>2.1999999999999999E-2</v>
      </c>
      <c r="AI28" s="75">
        <v>1.2999999999999999E-2</v>
      </c>
      <c r="AJ28" s="90"/>
      <c r="AK28" s="89"/>
    </row>
    <row r="29" spans="2:37" x14ac:dyDescent="0.2">
      <c r="B29" s="44"/>
      <c r="C29" s="132">
        <f t="shared" ref="C29:C30" si="5">C19</f>
        <v>0</v>
      </c>
      <c r="D29" s="128" t="s">
        <v>21</v>
      </c>
      <c r="E29" s="127"/>
      <c r="F29" s="127"/>
      <c r="G29" s="127"/>
      <c r="H29" s="127"/>
      <c r="I29" s="127"/>
      <c r="J29" s="127"/>
      <c r="K29" s="127"/>
      <c r="L29" s="127"/>
      <c r="M29" s="127"/>
      <c r="N29" s="127"/>
      <c r="O29" s="127"/>
      <c r="P29" s="127"/>
      <c r="Q29" s="633">
        <f t="shared" si="2"/>
        <v>0</v>
      </c>
      <c r="S29" s="46"/>
      <c r="U29" s="42"/>
      <c r="V29" s="81"/>
      <c r="W29" s="78" t="s">
        <v>106</v>
      </c>
      <c r="X29" s="79">
        <f t="shared" ref="X29:AI29" si="6">E26*E12</f>
        <v>1395</v>
      </c>
      <c r="Y29" s="79">
        <f t="shared" si="6"/>
        <v>1350</v>
      </c>
      <c r="Z29" s="79">
        <f t="shared" si="6"/>
        <v>1240</v>
      </c>
      <c r="AA29" s="79">
        <f t="shared" si="6"/>
        <v>1050</v>
      </c>
      <c r="AB29" s="79">
        <f t="shared" si="6"/>
        <v>1085</v>
      </c>
      <c r="AC29" s="79">
        <f t="shared" si="6"/>
        <v>930</v>
      </c>
      <c r="AD29" s="79">
        <f t="shared" si="6"/>
        <v>900</v>
      </c>
      <c r="AE29" s="79">
        <f t="shared" si="6"/>
        <v>620</v>
      </c>
      <c r="AF29" s="79">
        <f t="shared" si="6"/>
        <v>450</v>
      </c>
      <c r="AG29" s="79">
        <f t="shared" si="6"/>
        <v>310</v>
      </c>
      <c r="AH29" s="79">
        <f t="shared" si="6"/>
        <v>465</v>
      </c>
      <c r="AI29" s="80">
        <f t="shared" si="6"/>
        <v>700</v>
      </c>
      <c r="AJ29" s="88">
        <f>(SUM(X29:AI29))</f>
        <v>10495</v>
      </c>
      <c r="AK29" s="89">
        <f>AJ29*0.7</f>
        <v>7346.4999999999991</v>
      </c>
    </row>
    <row r="30" spans="2:37" x14ac:dyDescent="0.2">
      <c r="B30" s="44"/>
      <c r="C30" s="132">
        <f t="shared" si="5"/>
        <v>0</v>
      </c>
      <c r="D30" s="128" t="s">
        <v>21</v>
      </c>
      <c r="E30" s="127"/>
      <c r="F30" s="127"/>
      <c r="G30" s="127"/>
      <c r="H30" s="127"/>
      <c r="I30" s="127"/>
      <c r="J30" s="127"/>
      <c r="K30" s="127"/>
      <c r="L30" s="127"/>
      <c r="M30" s="127"/>
      <c r="N30" s="127"/>
      <c r="O30" s="127"/>
      <c r="P30" s="127"/>
      <c r="Q30" s="633">
        <f t="shared" si="2"/>
        <v>0</v>
      </c>
      <c r="S30" s="46"/>
      <c r="U30" s="76" t="s">
        <v>73</v>
      </c>
      <c r="V30" s="70">
        <f>((($G$6*$G$7)*1))*0.3</f>
        <v>94.5</v>
      </c>
      <c r="W30" s="70" t="s">
        <v>105</v>
      </c>
      <c r="X30" s="71">
        <v>0</v>
      </c>
      <c r="Y30" s="71">
        <v>0.01</v>
      </c>
      <c r="Z30" s="71">
        <v>2.1999999999999999E-2</v>
      </c>
      <c r="AA30" s="71">
        <v>0.05</v>
      </c>
      <c r="AB30" s="71">
        <v>0.12</v>
      </c>
      <c r="AC30" s="71">
        <v>2.1999999999999999E-2</v>
      </c>
      <c r="AD30" s="71">
        <v>2.1999999999999999E-2</v>
      </c>
      <c r="AE30" s="71">
        <v>2.1999999999999999E-2</v>
      </c>
      <c r="AF30" s="71">
        <v>2.1999999999999999E-2</v>
      </c>
      <c r="AG30" s="71">
        <v>0.05</v>
      </c>
      <c r="AH30" s="71">
        <v>0.05</v>
      </c>
      <c r="AI30" s="75">
        <v>0.01</v>
      </c>
      <c r="AJ30" s="90"/>
      <c r="AK30" s="89"/>
    </row>
    <row r="31" spans="2:37" x14ac:dyDescent="0.2">
      <c r="B31" s="44"/>
      <c r="C31" s="523"/>
      <c r="D31" s="524"/>
      <c r="E31" s="523"/>
      <c r="F31" s="523"/>
      <c r="G31" s="523"/>
      <c r="H31" s="523"/>
      <c r="I31" s="523"/>
      <c r="J31" s="523"/>
      <c r="K31" s="523"/>
      <c r="L31" s="523"/>
      <c r="M31" s="523"/>
      <c r="N31" s="523"/>
      <c r="O31" s="523"/>
      <c r="P31" s="523"/>
      <c r="Q31" s="525"/>
      <c r="S31" s="48"/>
      <c r="U31" s="76" t="s">
        <v>68</v>
      </c>
      <c r="V31" s="70">
        <f>($G$6*3)</f>
        <v>1350</v>
      </c>
      <c r="W31" s="70" t="s">
        <v>105</v>
      </c>
      <c r="X31" s="71">
        <v>0.01</v>
      </c>
      <c r="Y31" s="71">
        <v>1.2999999999999999E-2</v>
      </c>
      <c r="Z31" s="71">
        <v>2.8000000000000001E-2</v>
      </c>
      <c r="AA31" s="71">
        <v>4.4999999999999998E-2</v>
      </c>
      <c r="AB31" s="71">
        <v>0.06</v>
      </c>
      <c r="AC31" s="71">
        <v>0.06</v>
      </c>
      <c r="AD31" s="71">
        <v>0.03</v>
      </c>
      <c r="AE31" s="71">
        <v>0.02</v>
      </c>
      <c r="AF31" s="71">
        <v>0.02</v>
      </c>
      <c r="AG31" s="71">
        <v>0.03</v>
      </c>
      <c r="AH31" s="71">
        <v>0.02</v>
      </c>
      <c r="AI31" s="75">
        <v>0.01</v>
      </c>
      <c r="AJ31" s="90"/>
      <c r="AK31" s="89"/>
    </row>
    <row r="32" spans="2:37" x14ac:dyDescent="0.2">
      <c r="B32" s="49"/>
      <c r="C32" s="134" t="s">
        <v>20</v>
      </c>
      <c r="D32" s="130" t="s">
        <v>21</v>
      </c>
      <c r="E32" s="129" t="e">
        <f>(E14*E24+E15*E25+E16*E26+E17*E27+E18*E28+E19*E29+E20*E30)/E21</f>
        <v>#DIV/0!</v>
      </c>
      <c r="F32" s="129" t="e">
        <f t="shared" ref="F32:Q32" si="7">(F14*F24+F15*F25+F16*F26+F17*F27+F18*F28+F19*F29+F20*F30)/F21</f>
        <v>#DIV/0!</v>
      </c>
      <c r="G32" s="129" t="e">
        <f t="shared" si="7"/>
        <v>#DIV/0!</v>
      </c>
      <c r="H32" s="129" t="e">
        <f t="shared" si="7"/>
        <v>#DIV/0!</v>
      </c>
      <c r="I32" s="129" t="e">
        <f t="shared" si="7"/>
        <v>#DIV/0!</v>
      </c>
      <c r="J32" s="129" t="e">
        <f t="shared" si="7"/>
        <v>#DIV/0!</v>
      </c>
      <c r="K32" s="129" t="e">
        <f t="shared" si="7"/>
        <v>#DIV/0!</v>
      </c>
      <c r="L32" s="129" t="e">
        <f t="shared" si="7"/>
        <v>#DIV/0!</v>
      </c>
      <c r="M32" s="129" t="e">
        <f t="shared" si="7"/>
        <v>#DIV/0!</v>
      </c>
      <c r="N32" s="129" t="e">
        <f t="shared" si="7"/>
        <v>#DIV/0!</v>
      </c>
      <c r="O32" s="129" t="e">
        <f t="shared" si="7"/>
        <v>#DIV/0!</v>
      </c>
      <c r="P32" s="129" t="e">
        <f t="shared" si="7"/>
        <v>#DIV/0!</v>
      </c>
      <c r="Q32" s="131" t="e">
        <f t="shared" si="7"/>
        <v>#DIV/0!</v>
      </c>
      <c r="S32" s="46"/>
      <c r="U32" s="82"/>
      <c r="V32" s="83"/>
      <c r="W32" s="83" t="s">
        <v>106</v>
      </c>
      <c r="X32" s="84" t="e">
        <f>#REF!*E12</f>
        <v>#REF!</v>
      </c>
      <c r="Y32" s="84" t="e">
        <f>#REF!*F12</f>
        <v>#REF!</v>
      </c>
      <c r="Z32" s="84" t="e">
        <f>#REF!*G12</f>
        <v>#REF!</v>
      </c>
      <c r="AA32" s="84" t="e">
        <f>#REF!*H12</f>
        <v>#REF!</v>
      </c>
      <c r="AB32" s="84" t="e">
        <f>#REF!*I12</f>
        <v>#REF!</v>
      </c>
      <c r="AC32" s="84" t="e">
        <f>#REF!*J12</f>
        <v>#REF!</v>
      </c>
      <c r="AD32" s="84" t="e">
        <f>#REF!*K12</f>
        <v>#REF!</v>
      </c>
      <c r="AE32" s="84" t="e">
        <f>#REF!*L12</f>
        <v>#REF!</v>
      </c>
      <c r="AF32" s="84" t="e">
        <f>#REF!*M12</f>
        <v>#REF!</v>
      </c>
      <c r="AG32" s="84" t="e">
        <f>#REF!*N12</f>
        <v>#REF!</v>
      </c>
      <c r="AH32" s="84" t="e">
        <f>#REF!*O12</f>
        <v>#REF!</v>
      </c>
      <c r="AI32" s="85" t="e">
        <f>#REF!*P12</f>
        <v>#REF!</v>
      </c>
      <c r="AJ32" s="91" t="e">
        <f>(SUM(X32:AI32))</f>
        <v>#REF!</v>
      </c>
      <c r="AK32" s="92" t="e">
        <f>AJ32*0.7</f>
        <v>#REF!</v>
      </c>
    </row>
    <row r="33" spans="2:20" x14ac:dyDescent="0.2">
      <c r="B33" s="51" t="s">
        <v>69</v>
      </c>
      <c r="C33" s="52"/>
      <c r="D33" s="53"/>
      <c r="E33" s="52"/>
      <c r="F33" s="52"/>
      <c r="G33" s="52"/>
      <c r="H33" s="52"/>
      <c r="I33" s="52"/>
      <c r="J33" s="52"/>
      <c r="K33" s="52"/>
      <c r="L33" s="52"/>
      <c r="M33" s="52"/>
      <c r="N33" s="52"/>
      <c r="O33" s="52"/>
      <c r="P33" s="52"/>
      <c r="Q33" s="241" t="s">
        <v>26</v>
      </c>
      <c r="S33" s="46"/>
    </row>
    <row r="34" spans="2:20" x14ac:dyDescent="0.2">
      <c r="B34" s="44"/>
      <c r="C34" s="132" t="str">
        <f t="shared" ref="C34:C40" si="8">C24</f>
        <v>Irr - Hi - Pasture</v>
      </c>
      <c r="D34" s="126" t="s">
        <v>21</v>
      </c>
      <c r="E34" s="288"/>
      <c r="F34" s="288"/>
      <c r="G34" s="288"/>
      <c r="H34" s="288"/>
      <c r="I34" s="288"/>
      <c r="J34" s="288"/>
      <c r="K34" s="288"/>
      <c r="L34" s="288"/>
      <c r="M34" s="288"/>
      <c r="N34" s="288"/>
      <c r="O34" s="288"/>
      <c r="P34" s="288"/>
      <c r="Q34" s="634">
        <f>(E34*$E$12+F34*$F$12+G34*$G$12+H34*$H$12+I34*$I$12+J34*$J$12+K34*$K$12+L34*$L$12+M34*$M$12+N34*$N$12+O34*$O$12+P34*$P$12)/1000</f>
        <v>0</v>
      </c>
      <c r="S34" s="46"/>
    </row>
    <row r="35" spans="2:20" x14ac:dyDescent="0.2">
      <c r="B35" s="44"/>
      <c r="C35" s="132" t="str">
        <f t="shared" si="8"/>
        <v>Irr - Med - Pasture</v>
      </c>
      <c r="D35" s="128" t="s">
        <v>21</v>
      </c>
      <c r="E35" s="289"/>
      <c r="F35" s="289"/>
      <c r="G35" s="289"/>
      <c r="H35" s="289"/>
      <c r="I35" s="289"/>
      <c r="J35" s="289"/>
      <c r="K35" s="289"/>
      <c r="L35" s="289"/>
      <c r="M35" s="289"/>
      <c r="N35" s="289"/>
      <c r="O35" s="289"/>
      <c r="P35" s="289"/>
      <c r="Q35" s="633">
        <f t="shared" ref="Q35:Q40" si="9">(E35*$E$12+F35*$F$12+G35*$G$12+H35*$H$12+I35*$I$12+J35*$J$12+K35*$K$12+L35*$L$12+M35*$M$12+N35*$N$12+O35*$O$12+P35*$P$12)/1000</f>
        <v>0</v>
      </c>
      <c r="S35" s="46"/>
    </row>
    <row r="36" spans="2:20" x14ac:dyDescent="0.2">
      <c r="B36" s="44"/>
      <c r="C36" s="132" t="str">
        <f t="shared" si="8"/>
        <v>Irr - Lo - Pasture</v>
      </c>
      <c r="D36" s="128" t="s">
        <v>21</v>
      </c>
      <c r="E36" s="289"/>
      <c r="F36" s="289"/>
      <c r="G36" s="289"/>
      <c r="H36" s="289"/>
      <c r="I36" s="289"/>
      <c r="J36" s="289"/>
      <c r="K36" s="289"/>
      <c r="L36" s="289"/>
      <c r="M36" s="289"/>
      <c r="N36" s="289"/>
      <c r="O36" s="289"/>
      <c r="P36" s="289"/>
      <c r="Q36" s="633">
        <f t="shared" si="9"/>
        <v>0</v>
      </c>
      <c r="S36" s="46"/>
    </row>
    <row r="37" spans="2:20" x14ac:dyDescent="0.2">
      <c r="B37" s="44"/>
      <c r="C37" s="132" t="str">
        <f t="shared" si="8"/>
        <v>Dry - Pasture 1</v>
      </c>
      <c r="D37" s="128" t="s">
        <v>21</v>
      </c>
      <c r="E37" s="289"/>
      <c r="F37" s="289"/>
      <c r="G37" s="289"/>
      <c r="H37" s="289"/>
      <c r="I37" s="289"/>
      <c r="J37" s="289"/>
      <c r="K37" s="289"/>
      <c r="L37" s="289"/>
      <c r="M37" s="289"/>
      <c r="N37" s="289"/>
      <c r="O37" s="289"/>
      <c r="P37" s="289"/>
      <c r="Q37" s="633">
        <f t="shared" si="9"/>
        <v>0</v>
      </c>
      <c r="S37" s="46"/>
    </row>
    <row r="38" spans="2:20" x14ac:dyDescent="0.2">
      <c r="B38" s="44"/>
      <c r="C38" s="132" t="str">
        <f t="shared" si="8"/>
        <v>Dry - Pasture 2</v>
      </c>
      <c r="D38" s="128" t="s">
        <v>21</v>
      </c>
      <c r="E38" s="289"/>
      <c r="F38" s="289"/>
      <c r="G38" s="289"/>
      <c r="H38" s="289"/>
      <c r="I38" s="289"/>
      <c r="J38" s="289"/>
      <c r="K38" s="289"/>
      <c r="L38" s="289"/>
      <c r="M38" s="289"/>
      <c r="N38" s="289"/>
      <c r="O38" s="289"/>
      <c r="P38" s="289"/>
      <c r="Q38" s="633">
        <f t="shared" si="9"/>
        <v>0</v>
      </c>
      <c r="S38" s="46"/>
    </row>
    <row r="39" spans="2:20" x14ac:dyDescent="0.2">
      <c r="B39" s="44"/>
      <c r="C39" s="132">
        <f t="shared" si="8"/>
        <v>0</v>
      </c>
      <c r="D39" s="128" t="s">
        <v>21</v>
      </c>
      <c r="E39" s="289"/>
      <c r="F39" s="289"/>
      <c r="G39" s="289"/>
      <c r="H39" s="289"/>
      <c r="I39" s="289"/>
      <c r="J39" s="289"/>
      <c r="K39" s="289"/>
      <c r="L39" s="289"/>
      <c r="M39" s="289"/>
      <c r="N39" s="289"/>
      <c r="O39" s="289"/>
      <c r="P39" s="289"/>
      <c r="Q39" s="633">
        <f t="shared" si="9"/>
        <v>0</v>
      </c>
      <c r="S39" s="46"/>
    </row>
    <row r="40" spans="2:20" x14ac:dyDescent="0.2">
      <c r="B40" s="44"/>
      <c r="C40" s="132">
        <f t="shared" si="8"/>
        <v>0</v>
      </c>
      <c r="D40" s="128" t="s">
        <v>21</v>
      </c>
      <c r="E40" s="289"/>
      <c r="F40" s="289"/>
      <c r="G40" s="289"/>
      <c r="H40" s="289"/>
      <c r="I40" s="289"/>
      <c r="J40" s="289"/>
      <c r="K40" s="289"/>
      <c r="L40" s="289"/>
      <c r="M40" s="289"/>
      <c r="N40" s="289"/>
      <c r="O40" s="289"/>
      <c r="P40" s="289"/>
      <c r="Q40" s="633">
        <f t="shared" si="9"/>
        <v>0</v>
      </c>
      <c r="S40" s="46"/>
    </row>
    <row r="41" spans="2:20" x14ac:dyDescent="0.2">
      <c r="B41" s="44"/>
      <c r="C41" s="523"/>
      <c r="D41" s="524"/>
      <c r="E41" s="523"/>
      <c r="F41" s="523"/>
      <c r="G41" s="523"/>
      <c r="H41" s="523"/>
      <c r="I41" s="523"/>
      <c r="J41" s="523"/>
      <c r="K41" s="523"/>
      <c r="L41" s="523"/>
      <c r="M41" s="523"/>
      <c r="N41" s="523"/>
      <c r="O41" s="523"/>
      <c r="P41" s="523"/>
      <c r="Q41" s="525"/>
      <c r="S41" s="46"/>
      <c r="T41" s="12"/>
    </row>
    <row r="42" spans="2:20" x14ac:dyDescent="0.2">
      <c r="B42" s="49"/>
      <c r="C42" s="134" t="s">
        <v>20</v>
      </c>
      <c r="D42" s="130" t="s">
        <v>21</v>
      </c>
      <c r="E42" s="129" t="e">
        <f>(E14*E34+E15*E35+E16*E36+E17*E37+E18*E38+E19*E39+E20*E40)/E21</f>
        <v>#DIV/0!</v>
      </c>
      <c r="F42" s="129" t="e">
        <f t="shared" ref="F42:Q42" si="10">(F14*F34+F15*F35+F16*F36+F17*F37+F18*F38+F19*F39+F20*F40)/F21</f>
        <v>#DIV/0!</v>
      </c>
      <c r="G42" s="129" t="e">
        <f t="shared" si="10"/>
        <v>#DIV/0!</v>
      </c>
      <c r="H42" s="129" t="e">
        <f t="shared" si="10"/>
        <v>#DIV/0!</v>
      </c>
      <c r="I42" s="129" t="e">
        <f t="shared" si="10"/>
        <v>#DIV/0!</v>
      </c>
      <c r="J42" s="129" t="e">
        <f t="shared" si="10"/>
        <v>#DIV/0!</v>
      </c>
      <c r="K42" s="129" t="e">
        <f t="shared" si="10"/>
        <v>#DIV/0!</v>
      </c>
      <c r="L42" s="129" t="e">
        <f t="shared" si="10"/>
        <v>#DIV/0!</v>
      </c>
      <c r="M42" s="129" t="e">
        <f t="shared" si="10"/>
        <v>#DIV/0!</v>
      </c>
      <c r="N42" s="129" t="e">
        <f t="shared" si="10"/>
        <v>#DIV/0!</v>
      </c>
      <c r="O42" s="129" t="e">
        <f t="shared" si="10"/>
        <v>#DIV/0!</v>
      </c>
      <c r="P42" s="129" t="e">
        <f t="shared" si="10"/>
        <v>#DIV/0!</v>
      </c>
      <c r="Q42" s="135" t="e">
        <f t="shared" si="10"/>
        <v>#DIV/0!</v>
      </c>
      <c r="S42" s="46"/>
      <c r="T42" s="12"/>
    </row>
    <row r="43" spans="2:20" x14ac:dyDescent="0.2">
      <c r="B43" s="40" t="s">
        <v>28</v>
      </c>
      <c r="C43" s="41"/>
      <c r="D43" s="45" t="s">
        <v>35</v>
      </c>
      <c r="E43" s="41"/>
      <c r="F43" s="41"/>
      <c r="G43" s="41"/>
      <c r="H43" s="41"/>
      <c r="I43" s="41"/>
      <c r="J43" s="41"/>
      <c r="K43" s="41"/>
      <c r="L43" s="41"/>
      <c r="M43" s="41"/>
      <c r="N43" s="41"/>
      <c r="O43" s="41"/>
      <c r="P43" s="41"/>
      <c r="Q43" s="54"/>
      <c r="T43" s="12"/>
    </row>
    <row r="44" spans="2:20" x14ac:dyDescent="0.2">
      <c r="B44" s="44"/>
      <c r="C44" s="132" t="str">
        <f t="shared" ref="C44:C50" si="11">C34</f>
        <v>Irr - Hi - Pasture</v>
      </c>
      <c r="D44" s="126" t="s">
        <v>23</v>
      </c>
      <c r="E44" s="125">
        <f t="shared" ref="E44:P50" si="12">IF(E34&gt;0,E34,E24)*E14*E$12</f>
        <v>0</v>
      </c>
      <c r="F44" s="125">
        <f t="shared" si="12"/>
        <v>0</v>
      </c>
      <c r="G44" s="125">
        <f t="shared" si="12"/>
        <v>0</v>
      </c>
      <c r="H44" s="125">
        <f t="shared" si="12"/>
        <v>0</v>
      </c>
      <c r="I44" s="125">
        <f t="shared" si="12"/>
        <v>0</v>
      </c>
      <c r="J44" s="125">
        <f t="shared" si="12"/>
        <v>0</v>
      </c>
      <c r="K44" s="125">
        <f t="shared" si="12"/>
        <v>0</v>
      </c>
      <c r="L44" s="125">
        <f t="shared" si="12"/>
        <v>0</v>
      </c>
      <c r="M44" s="125">
        <f t="shared" si="12"/>
        <v>0</v>
      </c>
      <c r="N44" s="125">
        <f t="shared" si="12"/>
        <v>0</v>
      </c>
      <c r="O44" s="125">
        <f t="shared" si="12"/>
        <v>0</v>
      </c>
      <c r="P44" s="125">
        <f t="shared" si="12"/>
        <v>0</v>
      </c>
      <c r="Q44" s="136">
        <f>SUM(E44:P44)</f>
        <v>0</v>
      </c>
      <c r="T44" s="12"/>
    </row>
    <row r="45" spans="2:20" x14ac:dyDescent="0.2">
      <c r="B45" s="44"/>
      <c r="C45" s="132" t="str">
        <f t="shared" si="11"/>
        <v>Irr - Med - Pasture</v>
      </c>
      <c r="D45" s="128" t="s">
        <v>23</v>
      </c>
      <c r="E45" s="127">
        <f t="shared" si="12"/>
        <v>0</v>
      </c>
      <c r="F45" s="127">
        <f t="shared" si="12"/>
        <v>0</v>
      </c>
      <c r="G45" s="127">
        <f t="shared" si="12"/>
        <v>0</v>
      </c>
      <c r="H45" s="127">
        <f t="shared" si="12"/>
        <v>0</v>
      </c>
      <c r="I45" s="127">
        <f t="shared" si="12"/>
        <v>0</v>
      </c>
      <c r="J45" s="127">
        <f t="shared" si="12"/>
        <v>0</v>
      </c>
      <c r="K45" s="127">
        <f t="shared" si="12"/>
        <v>0</v>
      </c>
      <c r="L45" s="127">
        <f t="shared" si="12"/>
        <v>0</v>
      </c>
      <c r="M45" s="127">
        <f t="shared" si="12"/>
        <v>0</v>
      </c>
      <c r="N45" s="127">
        <f t="shared" si="12"/>
        <v>0</v>
      </c>
      <c r="O45" s="127">
        <f t="shared" si="12"/>
        <v>0</v>
      </c>
      <c r="P45" s="127">
        <f t="shared" si="12"/>
        <v>0</v>
      </c>
      <c r="Q45" s="137">
        <f>SUM(E45:P45)</f>
        <v>0</v>
      </c>
      <c r="T45" s="12"/>
    </row>
    <row r="46" spans="2:20" x14ac:dyDescent="0.2">
      <c r="B46" s="44"/>
      <c r="C46" s="132" t="str">
        <f t="shared" si="11"/>
        <v>Irr - Lo - Pasture</v>
      </c>
      <c r="D46" s="128" t="s">
        <v>23</v>
      </c>
      <c r="E46" s="127">
        <f t="shared" si="12"/>
        <v>0</v>
      </c>
      <c r="F46" s="127">
        <f t="shared" si="12"/>
        <v>0</v>
      </c>
      <c r="G46" s="127">
        <f t="shared" si="12"/>
        <v>0</v>
      </c>
      <c r="H46" s="127">
        <f t="shared" si="12"/>
        <v>0</v>
      </c>
      <c r="I46" s="127">
        <f t="shared" si="12"/>
        <v>0</v>
      </c>
      <c r="J46" s="127">
        <f t="shared" si="12"/>
        <v>0</v>
      </c>
      <c r="K46" s="127">
        <f t="shared" si="12"/>
        <v>0</v>
      </c>
      <c r="L46" s="127">
        <f t="shared" si="12"/>
        <v>0</v>
      </c>
      <c r="M46" s="127">
        <f t="shared" si="12"/>
        <v>0</v>
      </c>
      <c r="N46" s="127">
        <f t="shared" si="12"/>
        <v>0</v>
      </c>
      <c r="O46" s="127">
        <f t="shared" si="12"/>
        <v>0</v>
      </c>
      <c r="P46" s="127">
        <f t="shared" si="12"/>
        <v>0</v>
      </c>
      <c r="Q46" s="137">
        <f>SUM(E46:P46)</f>
        <v>0</v>
      </c>
      <c r="T46" s="12"/>
    </row>
    <row r="47" spans="2:20" x14ac:dyDescent="0.2">
      <c r="B47" s="44"/>
      <c r="C47" s="132" t="str">
        <f t="shared" si="11"/>
        <v>Dry - Pasture 1</v>
      </c>
      <c r="D47" s="128" t="s">
        <v>23</v>
      </c>
      <c r="E47" s="127">
        <f t="shared" si="12"/>
        <v>0</v>
      </c>
      <c r="F47" s="127">
        <f t="shared" si="12"/>
        <v>0</v>
      </c>
      <c r="G47" s="127">
        <f t="shared" si="12"/>
        <v>0</v>
      </c>
      <c r="H47" s="127">
        <f t="shared" si="12"/>
        <v>0</v>
      </c>
      <c r="I47" s="127">
        <f t="shared" si="12"/>
        <v>0</v>
      </c>
      <c r="J47" s="127">
        <f t="shared" si="12"/>
        <v>0</v>
      </c>
      <c r="K47" s="127">
        <f t="shared" si="12"/>
        <v>0</v>
      </c>
      <c r="L47" s="127">
        <f t="shared" si="12"/>
        <v>0</v>
      </c>
      <c r="M47" s="127">
        <f t="shared" si="12"/>
        <v>0</v>
      </c>
      <c r="N47" s="127">
        <f t="shared" si="12"/>
        <v>0</v>
      </c>
      <c r="O47" s="127">
        <f t="shared" si="12"/>
        <v>0</v>
      </c>
      <c r="P47" s="127">
        <f t="shared" si="12"/>
        <v>0</v>
      </c>
      <c r="Q47" s="137">
        <f t="shared" ref="Q47:Q50" si="13">SUM(E47:P47)</f>
        <v>0</v>
      </c>
      <c r="T47" s="12"/>
    </row>
    <row r="48" spans="2:20" x14ac:dyDescent="0.2">
      <c r="B48" s="44"/>
      <c r="C48" s="132" t="str">
        <f t="shared" si="11"/>
        <v>Dry - Pasture 2</v>
      </c>
      <c r="D48" s="128" t="s">
        <v>23</v>
      </c>
      <c r="E48" s="127">
        <f t="shared" si="12"/>
        <v>0</v>
      </c>
      <c r="F48" s="127">
        <f t="shared" si="12"/>
        <v>0</v>
      </c>
      <c r="G48" s="127">
        <f t="shared" si="12"/>
        <v>0</v>
      </c>
      <c r="H48" s="127">
        <f t="shared" si="12"/>
        <v>0</v>
      </c>
      <c r="I48" s="127">
        <f t="shared" si="12"/>
        <v>0</v>
      </c>
      <c r="J48" s="127">
        <f t="shared" si="12"/>
        <v>0</v>
      </c>
      <c r="K48" s="127">
        <f t="shared" si="12"/>
        <v>0</v>
      </c>
      <c r="L48" s="127">
        <f t="shared" si="12"/>
        <v>0</v>
      </c>
      <c r="M48" s="127">
        <f t="shared" si="12"/>
        <v>0</v>
      </c>
      <c r="N48" s="127">
        <f t="shared" si="12"/>
        <v>0</v>
      </c>
      <c r="O48" s="127">
        <f t="shared" si="12"/>
        <v>0</v>
      </c>
      <c r="P48" s="127">
        <f t="shared" si="12"/>
        <v>0</v>
      </c>
      <c r="Q48" s="137">
        <f t="shared" si="13"/>
        <v>0</v>
      </c>
    </row>
    <row r="49" spans="2:19" x14ac:dyDescent="0.2">
      <c r="B49" s="44"/>
      <c r="C49" s="132">
        <f t="shared" si="11"/>
        <v>0</v>
      </c>
      <c r="D49" s="128" t="s">
        <v>23</v>
      </c>
      <c r="E49" s="127">
        <f t="shared" si="12"/>
        <v>0</v>
      </c>
      <c r="F49" s="127">
        <f t="shared" si="12"/>
        <v>0</v>
      </c>
      <c r="G49" s="127">
        <f t="shared" si="12"/>
        <v>0</v>
      </c>
      <c r="H49" s="127">
        <f t="shared" si="12"/>
        <v>0</v>
      </c>
      <c r="I49" s="127">
        <f t="shared" si="12"/>
        <v>0</v>
      </c>
      <c r="J49" s="127">
        <f t="shared" si="12"/>
        <v>0</v>
      </c>
      <c r="K49" s="127">
        <f t="shared" si="12"/>
        <v>0</v>
      </c>
      <c r="L49" s="127">
        <f t="shared" si="12"/>
        <v>0</v>
      </c>
      <c r="M49" s="127">
        <f t="shared" si="12"/>
        <v>0</v>
      </c>
      <c r="N49" s="127">
        <f t="shared" si="12"/>
        <v>0</v>
      </c>
      <c r="O49" s="127">
        <f t="shared" si="12"/>
        <v>0</v>
      </c>
      <c r="P49" s="127">
        <f t="shared" si="12"/>
        <v>0</v>
      </c>
      <c r="Q49" s="137">
        <f t="shared" si="13"/>
        <v>0</v>
      </c>
    </row>
    <row r="50" spans="2:19" x14ac:dyDescent="0.2">
      <c r="B50" s="44"/>
      <c r="C50" s="132">
        <f t="shared" si="11"/>
        <v>0</v>
      </c>
      <c r="D50" s="128" t="s">
        <v>23</v>
      </c>
      <c r="E50" s="127">
        <f t="shared" si="12"/>
        <v>0</v>
      </c>
      <c r="F50" s="127">
        <f t="shared" si="12"/>
        <v>0</v>
      </c>
      <c r="G50" s="127">
        <f t="shared" si="12"/>
        <v>0</v>
      </c>
      <c r="H50" s="127">
        <f t="shared" si="12"/>
        <v>0</v>
      </c>
      <c r="I50" s="127">
        <f t="shared" si="12"/>
        <v>0</v>
      </c>
      <c r="J50" s="127">
        <f t="shared" si="12"/>
        <v>0</v>
      </c>
      <c r="K50" s="127">
        <f t="shared" si="12"/>
        <v>0</v>
      </c>
      <c r="L50" s="127">
        <f t="shared" si="12"/>
        <v>0</v>
      </c>
      <c r="M50" s="127">
        <f t="shared" si="12"/>
        <v>0</v>
      </c>
      <c r="N50" s="127">
        <f t="shared" si="12"/>
        <v>0</v>
      </c>
      <c r="O50" s="127">
        <f t="shared" si="12"/>
        <v>0</v>
      </c>
      <c r="P50" s="127">
        <f t="shared" si="12"/>
        <v>0</v>
      </c>
      <c r="Q50" s="137">
        <f t="shared" si="13"/>
        <v>0</v>
      </c>
    </row>
    <row r="51" spans="2:19" x14ac:dyDescent="0.2">
      <c r="B51" s="44"/>
      <c r="C51" s="133" t="s">
        <v>0</v>
      </c>
      <c r="D51" s="128" t="s">
        <v>23</v>
      </c>
      <c r="E51" s="127">
        <f t="shared" ref="E51:P51" si="14">SUM(E44:E50)</f>
        <v>0</v>
      </c>
      <c r="F51" s="127">
        <f t="shared" si="14"/>
        <v>0</v>
      </c>
      <c r="G51" s="127">
        <f t="shared" si="14"/>
        <v>0</v>
      </c>
      <c r="H51" s="127">
        <f t="shared" si="14"/>
        <v>0</v>
      </c>
      <c r="I51" s="127">
        <f t="shared" si="14"/>
        <v>0</v>
      </c>
      <c r="J51" s="127">
        <f t="shared" si="14"/>
        <v>0</v>
      </c>
      <c r="K51" s="127">
        <f t="shared" si="14"/>
        <v>0</v>
      </c>
      <c r="L51" s="127">
        <f t="shared" si="14"/>
        <v>0</v>
      </c>
      <c r="M51" s="127">
        <f t="shared" si="14"/>
        <v>0</v>
      </c>
      <c r="N51" s="127">
        <f t="shared" si="14"/>
        <v>0</v>
      </c>
      <c r="O51" s="127">
        <f t="shared" si="14"/>
        <v>0</v>
      </c>
      <c r="P51" s="127">
        <f t="shared" si="14"/>
        <v>0</v>
      </c>
      <c r="Q51" s="137">
        <f>SUM(E51:P51)</f>
        <v>0</v>
      </c>
    </row>
    <row r="52" spans="2:19" ht="13.5" thickBot="1" x14ac:dyDescent="0.25">
      <c r="B52" s="44"/>
      <c r="C52" s="138" t="s">
        <v>34</v>
      </c>
      <c r="D52" s="139" t="s">
        <v>21</v>
      </c>
      <c r="E52" s="140" t="e">
        <f t="shared" ref="E52:Q52" si="15">E51/E21/E12</f>
        <v>#DIV/0!</v>
      </c>
      <c r="F52" s="140" t="e">
        <f t="shared" si="15"/>
        <v>#DIV/0!</v>
      </c>
      <c r="G52" s="140" t="e">
        <f t="shared" si="15"/>
        <v>#DIV/0!</v>
      </c>
      <c r="H52" s="140" t="e">
        <f t="shared" si="15"/>
        <v>#DIV/0!</v>
      </c>
      <c r="I52" s="140" t="e">
        <f t="shared" si="15"/>
        <v>#DIV/0!</v>
      </c>
      <c r="J52" s="140" t="e">
        <f t="shared" si="15"/>
        <v>#DIV/0!</v>
      </c>
      <c r="K52" s="140" t="e">
        <f t="shared" si="15"/>
        <v>#DIV/0!</v>
      </c>
      <c r="L52" s="140" t="e">
        <f t="shared" si="15"/>
        <v>#DIV/0!</v>
      </c>
      <c r="M52" s="140" t="e">
        <f t="shared" si="15"/>
        <v>#DIV/0!</v>
      </c>
      <c r="N52" s="140" t="e">
        <f t="shared" si="15"/>
        <v>#DIV/0!</v>
      </c>
      <c r="O52" s="140" t="e">
        <f t="shared" si="15"/>
        <v>#DIV/0!</v>
      </c>
      <c r="P52" s="140" t="e">
        <f t="shared" si="15"/>
        <v>#DIV/0!</v>
      </c>
      <c r="Q52" s="141" t="e">
        <f t="shared" si="15"/>
        <v>#DIV/0!</v>
      </c>
      <c r="S52" s="2" t="e">
        <f>Q52*365</f>
        <v>#DIV/0!</v>
      </c>
    </row>
    <row r="53" spans="2:19" ht="15.75" x14ac:dyDescent="0.2">
      <c r="B53" s="122" t="s">
        <v>82</v>
      </c>
      <c r="C53" s="58"/>
      <c r="D53" s="156"/>
      <c r="E53" s="57"/>
      <c r="F53" s="57"/>
      <c r="G53" s="57"/>
      <c r="H53" s="57"/>
      <c r="I53" s="57"/>
      <c r="J53" s="57"/>
      <c r="K53" s="57"/>
      <c r="L53" s="57"/>
      <c r="M53" s="57"/>
      <c r="N53" s="57"/>
      <c r="O53" s="57"/>
      <c r="P53" s="57"/>
      <c r="Q53" s="162"/>
    </row>
    <row r="54" spans="2:19" x14ac:dyDescent="0.2">
      <c r="B54" s="164" t="s">
        <v>1</v>
      </c>
      <c r="C54" s="31"/>
      <c r="D54" s="31"/>
      <c r="E54" s="316" t="str">
        <f t="shared" ref="E54:P54" si="16">E11</f>
        <v>Mar</v>
      </c>
      <c r="F54" s="316" t="str">
        <f t="shared" si="16"/>
        <v>Apr</v>
      </c>
      <c r="G54" s="316" t="str">
        <f t="shared" si="16"/>
        <v>May</v>
      </c>
      <c r="H54" s="316" t="str">
        <f t="shared" si="16"/>
        <v>Jun</v>
      </c>
      <c r="I54" s="316" t="str">
        <f t="shared" si="16"/>
        <v>Jul</v>
      </c>
      <c r="J54" s="316" t="str">
        <f t="shared" si="16"/>
        <v>Aug</v>
      </c>
      <c r="K54" s="316" t="str">
        <f t="shared" si="16"/>
        <v>Sep</v>
      </c>
      <c r="L54" s="316" t="str">
        <f t="shared" si="16"/>
        <v>Oct</v>
      </c>
      <c r="M54" s="316" t="str">
        <f t="shared" si="16"/>
        <v>Nov</v>
      </c>
      <c r="N54" s="316" t="str">
        <f t="shared" si="16"/>
        <v>Dec</v>
      </c>
      <c r="O54" s="316" t="str">
        <f t="shared" si="16"/>
        <v>Jan</v>
      </c>
      <c r="P54" s="316" t="str">
        <f t="shared" si="16"/>
        <v>Feb</v>
      </c>
      <c r="Q54" s="163"/>
    </row>
    <row r="55" spans="2:19" x14ac:dyDescent="0.2">
      <c r="B55" s="56" t="s">
        <v>83</v>
      </c>
      <c r="C55" s="58"/>
      <c r="D55" s="157"/>
      <c r="E55" s="58"/>
      <c r="F55" s="58"/>
      <c r="G55" s="58"/>
      <c r="H55" s="58"/>
      <c r="I55" s="58"/>
      <c r="J55" s="58"/>
      <c r="K55" s="58"/>
      <c r="L55" s="58"/>
      <c r="M55" s="58"/>
      <c r="N55" s="58"/>
      <c r="O55" s="58"/>
      <c r="P55" s="58"/>
      <c r="Q55" s="161"/>
    </row>
    <row r="56" spans="2:19" x14ac:dyDescent="0.2">
      <c r="B56" s="59"/>
      <c r="C56" s="142" t="s">
        <v>311</v>
      </c>
      <c r="D56" s="143" t="s">
        <v>16</v>
      </c>
      <c r="E56" s="290">
        <f>'P2 CF'!C18</f>
        <v>0</v>
      </c>
      <c r="F56" s="290">
        <f>'P2 CF'!D18</f>
        <v>0</v>
      </c>
      <c r="G56" s="290">
        <f>'P2 CF'!E18</f>
        <v>0</v>
      </c>
      <c r="H56" s="290">
        <f>'P2 CF'!F18</f>
        <v>0</v>
      </c>
      <c r="I56" s="290">
        <f>'P2 CF'!G18</f>
        <v>0</v>
      </c>
      <c r="J56" s="290">
        <f>'P2 CF'!H18</f>
        <v>0</v>
      </c>
      <c r="K56" s="290">
        <f>'P2 CF'!I18</f>
        <v>0</v>
      </c>
      <c r="L56" s="290">
        <f>'P2 CF'!J18</f>
        <v>0</v>
      </c>
      <c r="M56" s="290">
        <f>'P2 CF'!K18</f>
        <v>0</v>
      </c>
      <c r="N56" s="290">
        <f>'P2 CF'!L18</f>
        <v>0</v>
      </c>
      <c r="O56" s="290">
        <f>'P2 CF'!M18</f>
        <v>0</v>
      </c>
      <c r="P56" s="290">
        <f>'P2 CF'!N18</f>
        <v>0</v>
      </c>
      <c r="Q56" s="144"/>
    </row>
    <row r="57" spans="2:19" x14ac:dyDescent="0.2">
      <c r="B57" s="59"/>
      <c r="C57" s="145" t="s">
        <v>19</v>
      </c>
      <c r="D57" s="146" t="s">
        <v>16</v>
      </c>
      <c r="E57" s="291">
        <f>'P2 CF'!C16</f>
        <v>0</v>
      </c>
      <c r="F57" s="291">
        <f>'P2 CF'!D16</f>
        <v>0</v>
      </c>
      <c r="G57" s="291">
        <f>'P2 CF'!E16</f>
        <v>0</v>
      </c>
      <c r="H57" s="291">
        <f>'P2 CF'!F16</f>
        <v>0</v>
      </c>
      <c r="I57" s="291">
        <f>'P2 CF'!G16</f>
        <v>0</v>
      </c>
      <c r="J57" s="291">
        <f>'P2 CF'!H16</f>
        <v>0</v>
      </c>
      <c r="K57" s="291">
        <f>'P2 CF'!I16</f>
        <v>0</v>
      </c>
      <c r="L57" s="291">
        <f>'P2 CF'!J16</f>
        <v>0</v>
      </c>
      <c r="M57" s="291">
        <f>'P2 CF'!K16</f>
        <v>0</v>
      </c>
      <c r="N57" s="291">
        <f>'P2 CF'!L16</f>
        <v>0</v>
      </c>
      <c r="O57" s="291">
        <f>'P2 CF'!M16</f>
        <v>0</v>
      </c>
      <c r="P57" s="291">
        <f>'P2 CF'!N16</f>
        <v>0</v>
      </c>
      <c r="Q57" s="148"/>
    </row>
    <row r="58" spans="2:19" x14ac:dyDescent="0.2">
      <c r="B58" s="59"/>
      <c r="C58" s="145" t="str">
        <f>'P2 CF'!A34</f>
        <v>Heifers in Calf</v>
      </c>
      <c r="D58" s="146" t="s">
        <v>16</v>
      </c>
      <c r="E58" s="291">
        <f>'P2 CF'!C34</f>
        <v>0</v>
      </c>
      <c r="F58" s="291">
        <f>'P2 CF'!D34</f>
        <v>0</v>
      </c>
      <c r="G58" s="291">
        <f>'P2 CF'!E34</f>
        <v>0</v>
      </c>
      <c r="H58" s="291">
        <f>'P2 CF'!F34</f>
        <v>0</v>
      </c>
      <c r="I58" s="291">
        <f>'P2 CF'!G34</f>
        <v>0</v>
      </c>
      <c r="J58" s="291">
        <f>'P2 CF'!H34</f>
        <v>0</v>
      </c>
      <c r="K58" s="291">
        <f>'P2 CF'!I34</f>
        <v>0</v>
      </c>
      <c r="L58" s="291">
        <f>'P2 CF'!J34</f>
        <v>0</v>
      </c>
      <c r="M58" s="291">
        <f>'P2 CF'!K34</f>
        <v>0</v>
      </c>
      <c r="N58" s="291">
        <f>'P2 CF'!L34</f>
        <v>0</v>
      </c>
      <c r="O58" s="291">
        <f>'P2 CF'!M34</f>
        <v>0</v>
      </c>
      <c r="P58" s="291">
        <f>'P2 CF'!N34</f>
        <v>0</v>
      </c>
      <c r="Q58" s="149"/>
    </row>
    <row r="59" spans="2:19" x14ac:dyDescent="0.2">
      <c r="B59" s="59"/>
      <c r="C59" s="145" t="str">
        <f>'P2 CF'!A32</f>
        <v>Post-Weaned Heifers</v>
      </c>
      <c r="D59" s="146" t="s">
        <v>16</v>
      </c>
      <c r="E59" s="291">
        <f>'P2 CF'!C32</f>
        <v>0</v>
      </c>
      <c r="F59" s="291">
        <f>'P2 CF'!D32</f>
        <v>0</v>
      </c>
      <c r="G59" s="291">
        <f>'P2 CF'!E32</f>
        <v>0</v>
      </c>
      <c r="H59" s="291">
        <f>'P2 CF'!F32</f>
        <v>0</v>
      </c>
      <c r="I59" s="291">
        <f>'P2 CF'!G32</f>
        <v>0</v>
      </c>
      <c r="J59" s="291">
        <f>'P2 CF'!H32</f>
        <v>0</v>
      </c>
      <c r="K59" s="291">
        <f>'P2 CF'!I32</f>
        <v>0</v>
      </c>
      <c r="L59" s="291">
        <f>'P2 CF'!J32</f>
        <v>0</v>
      </c>
      <c r="M59" s="291">
        <f>'P2 CF'!K32</f>
        <v>0</v>
      </c>
      <c r="N59" s="291">
        <f>'P2 CF'!L32</f>
        <v>0</v>
      </c>
      <c r="O59" s="291">
        <f>'P2 CF'!M32</f>
        <v>0</v>
      </c>
      <c r="P59" s="291">
        <f>'P2 CF'!N32</f>
        <v>0</v>
      </c>
      <c r="Q59" s="149"/>
    </row>
    <row r="60" spans="2:19" x14ac:dyDescent="0.2">
      <c r="B60" s="59"/>
      <c r="C60" s="145" t="str">
        <f>'P2 CF'!A30</f>
        <v>Pre-Weaned Heifers</v>
      </c>
      <c r="D60" s="146" t="s">
        <v>16</v>
      </c>
      <c r="E60" s="291">
        <f>'P2 CF'!C30</f>
        <v>0</v>
      </c>
      <c r="F60" s="291">
        <f>'P2 CF'!D30</f>
        <v>0</v>
      </c>
      <c r="G60" s="291">
        <f>'P2 CF'!E30</f>
        <v>0</v>
      </c>
      <c r="H60" s="291">
        <f>'P2 CF'!F30</f>
        <v>0</v>
      </c>
      <c r="I60" s="291">
        <f>'P2 CF'!G30</f>
        <v>0</v>
      </c>
      <c r="J60" s="291">
        <f>'P2 CF'!H30</f>
        <v>0</v>
      </c>
      <c r="K60" s="291">
        <f>'P2 CF'!I30</f>
        <v>0</v>
      </c>
      <c r="L60" s="291">
        <f>'P2 CF'!J30</f>
        <v>0</v>
      </c>
      <c r="M60" s="291">
        <f>'P2 CF'!K30</f>
        <v>0</v>
      </c>
      <c r="N60" s="291">
        <f>'P2 CF'!L30</f>
        <v>0</v>
      </c>
      <c r="O60" s="291">
        <f>'P2 CF'!M30</f>
        <v>0</v>
      </c>
      <c r="P60" s="291">
        <f>'P2 CF'!N30</f>
        <v>0</v>
      </c>
      <c r="Q60" s="149"/>
    </row>
    <row r="61" spans="2:19" x14ac:dyDescent="0.2">
      <c r="B61" s="59"/>
      <c r="C61" s="145" t="s">
        <v>42</v>
      </c>
      <c r="D61" s="146" t="s">
        <v>16</v>
      </c>
      <c r="E61" s="291"/>
      <c r="F61" s="289"/>
      <c r="G61" s="289"/>
      <c r="H61" s="289"/>
      <c r="I61" s="289"/>
      <c r="J61" s="289"/>
      <c r="K61" s="289"/>
      <c r="L61" s="289"/>
      <c r="M61" s="289"/>
      <c r="N61" s="289"/>
      <c r="O61" s="289"/>
      <c r="P61" s="289"/>
      <c r="Q61" s="149"/>
    </row>
    <row r="62" spans="2:19" x14ac:dyDescent="0.2">
      <c r="B62" s="59"/>
      <c r="C62" s="145" t="s">
        <v>38</v>
      </c>
      <c r="D62" s="146" t="s">
        <v>16</v>
      </c>
      <c r="E62" s="291"/>
      <c r="F62" s="289"/>
      <c r="G62" s="289"/>
      <c r="H62" s="289"/>
      <c r="I62" s="289"/>
      <c r="J62" s="289"/>
      <c r="K62" s="289"/>
      <c r="L62" s="289"/>
      <c r="M62" s="289"/>
      <c r="N62" s="289"/>
      <c r="O62" s="289"/>
      <c r="P62" s="289"/>
      <c r="Q62" s="149"/>
    </row>
    <row r="63" spans="2:19" x14ac:dyDescent="0.2">
      <c r="B63" s="59"/>
      <c r="C63" s="145" t="s">
        <v>39</v>
      </c>
      <c r="D63" s="146" t="s">
        <v>16</v>
      </c>
      <c r="E63" s="291"/>
      <c r="F63" s="289"/>
      <c r="G63" s="289"/>
      <c r="H63" s="289"/>
      <c r="I63" s="289"/>
      <c r="J63" s="289"/>
      <c r="K63" s="289"/>
      <c r="L63" s="289"/>
      <c r="M63" s="289"/>
      <c r="N63" s="289"/>
      <c r="O63" s="289"/>
      <c r="P63" s="289"/>
      <c r="Q63" s="149"/>
    </row>
    <row r="64" spans="2:19" x14ac:dyDescent="0.2">
      <c r="B64" s="59"/>
      <c r="C64" s="150"/>
      <c r="D64" s="158"/>
      <c r="E64" s="150"/>
      <c r="F64" s="150"/>
      <c r="G64" s="150"/>
      <c r="H64" s="150"/>
      <c r="I64" s="150"/>
      <c r="J64" s="150"/>
      <c r="K64" s="150"/>
      <c r="L64" s="150"/>
      <c r="M64" s="150"/>
      <c r="N64" s="150"/>
      <c r="O64" s="150"/>
      <c r="P64" s="145"/>
      <c r="Q64" s="149"/>
    </row>
    <row r="65" spans="2:17" x14ac:dyDescent="0.2">
      <c r="B65" s="59"/>
      <c r="C65" s="145" t="s">
        <v>451</v>
      </c>
      <c r="D65" s="146" t="s">
        <v>16</v>
      </c>
      <c r="E65" s="291"/>
      <c r="F65" s="289"/>
      <c r="G65" s="289"/>
      <c r="H65" s="289"/>
      <c r="I65" s="289"/>
      <c r="J65" s="289"/>
      <c r="K65" s="289"/>
      <c r="L65" s="289"/>
      <c r="M65" s="289"/>
      <c r="N65" s="289"/>
      <c r="O65" s="289"/>
      <c r="P65" s="289"/>
      <c r="Q65" s="149"/>
    </row>
    <row r="66" spans="2:17" x14ac:dyDescent="0.2">
      <c r="B66" s="59"/>
      <c r="C66" s="145" t="s">
        <v>451</v>
      </c>
      <c r="D66" s="146" t="s">
        <v>16</v>
      </c>
      <c r="E66" s="291"/>
      <c r="F66" s="289"/>
      <c r="G66" s="289"/>
      <c r="H66" s="289"/>
      <c r="I66" s="289"/>
      <c r="J66" s="289"/>
      <c r="K66" s="289"/>
      <c r="L66" s="289"/>
      <c r="M66" s="289"/>
      <c r="N66" s="289"/>
      <c r="O66" s="289"/>
      <c r="P66" s="289"/>
      <c r="Q66" s="149"/>
    </row>
    <row r="67" spans="2:17" x14ac:dyDescent="0.2">
      <c r="B67" s="59"/>
      <c r="C67" s="145" t="s">
        <v>451</v>
      </c>
      <c r="D67" s="146" t="s">
        <v>16</v>
      </c>
      <c r="E67" s="291"/>
      <c r="F67" s="289"/>
      <c r="G67" s="289"/>
      <c r="H67" s="289"/>
      <c r="I67" s="289"/>
      <c r="J67" s="289"/>
      <c r="K67" s="289"/>
      <c r="L67" s="289"/>
      <c r="M67" s="289"/>
      <c r="N67" s="289"/>
      <c r="O67" s="289"/>
      <c r="P67" s="289"/>
      <c r="Q67" s="149"/>
    </row>
    <row r="68" spans="2:17" x14ac:dyDescent="0.2">
      <c r="B68" s="59"/>
      <c r="C68" s="145" t="s">
        <v>451</v>
      </c>
      <c r="D68" s="146" t="s">
        <v>16</v>
      </c>
      <c r="E68" s="291"/>
      <c r="F68" s="289"/>
      <c r="G68" s="289"/>
      <c r="H68" s="289"/>
      <c r="I68" s="289"/>
      <c r="J68" s="289"/>
      <c r="K68" s="289"/>
      <c r="L68" s="289"/>
      <c r="M68" s="289"/>
      <c r="N68" s="289"/>
      <c r="O68" s="289"/>
      <c r="P68" s="289"/>
      <c r="Q68" s="149"/>
    </row>
    <row r="69" spans="2:17" x14ac:dyDescent="0.2">
      <c r="B69" s="59"/>
      <c r="C69" s="145" t="s">
        <v>451</v>
      </c>
      <c r="D69" s="146" t="s">
        <v>16</v>
      </c>
      <c r="E69" s="292"/>
      <c r="F69" s="293"/>
      <c r="G69" s="293"/>
      <c r="H69" s="293"/>
      <c r="I69" s="293"/>
      <c r="J69" s="293"/>
      <c r="K69" s="293"/>
      <c r="L69" s="293"/>
      <c r="M69" s="293"/>
      <c r="N69" s="293"/>
      <c r="O69" s="293"/>
      <c r="P69" s="293"/>
      <c r="Q69" s="149"/>
    </row>
    <row r="70" spans="2:17" x14ac:dyDescent="0.2">
      <c r="B70" s="59"/>
      <c r="C70" s="145" t="s">
        <v>451</v>
      </c>
      <c r="D70" s="147" t="s">
        <v>16</v>
      </c>
      <c r="E70" s="292"/>
      <c r="F70" s="293"/>
      <c r="G70" s="293"/>
      <c r="H70" s="293"/>
      <c r="I70" s="293"/>
      <c r="J70" s="293"/>
      <c r="K70" s="293"/>
      <c r="L70" s="293"/>
      <c r="M70" s="293"/>
      <c r="N70" s="293"/>
      <c r="O70" s="293"/>
      <c r="P70" s="293"/>
      <c r="Q70" s="149"/>
    </row>
    <row r="71" spans="2:17" x14ac:dyDescent="0.2">
      <c r="B71" s="124"/>
      <c r="C71" s="123"/>
      <c r="D71" s="159"/>
      <c r="E71" s="123"/>
      <c r="F71" s="123"/>
      <c r="G71" s="123"/>
      <c r="H71" s="123"/>
      <c r="I71" s="123"/>
      <c r="J71" s="123"/>
      <c r="K71" s="123"/>
      <c r="L71" s="123"/>
      <c r="M71" s="123"/>
      <c r="N71" s="123"/>
      <c r="O71" s="123"/>
      <c r="P71" s="123"/>
      <c r="Q71" s="160"/>
    </row>
    <row r="72" spans="2:17" x14ac:dyDescent="0.2">
      <c r="B72" s="56" t="s">
        <v>62</v>
      </c>
      <c r="C72" s="60"/>
      <c r="D72" s="165"/>
      <c r="E72" s="58"/>
      <c r="F72" s="58"/>
      <c r="G72" s="58"/>
      <c r="H72" s="58"/>
      <c r="I72" s="58"/>
      <c r="J72" s="58"/>
      <c r="K72" s="58"/>
      <c r="L72" s="58"/>
      <c r="M72" s="58"/>
      <c r="N72" s="58"/>
      <c r="O72" s="58"/>
      <c r="P72" s="306"/>
      <c r="Q72" s="161"/>
    </row>
    <row r="73" spans="2:17" x14ac:dyDescent="0.2">
      <c r="B73" s="59"/>
      <c r="C73" s="142" t="str">
        <f>C56</f>
        <v>Cows in Milk</v>
      </c>
      <c r="D73" s="143" t="s">
        <v>17</v>
      </c>
      <c r="E73" s="648">
        <f>'P2 CF'!C26</f>
        <v>14.7</v>
      </c>
      <c r="F73" s="648">
        <f>'P2 CF'!D26</f>
        <v>14.2</v>
      </c>
      <c r="G73" s="648">
        <f>'P2 CF'!E26</f>
        <v>13.7</v>
      </c>
      <c r="H73" s="648">
        <f>'P2 CF'!F26</f>
        <v>13.2</v>
      </c>
      <c r="I73" s="648">
        <f>'P2 CF'!G26</f>
        <v>12.2</v>
      </c>
      <c r="J73" s="648">
        <f>'P2 CF'!H26</f>
        <v>14.2</v>
      </c>
      <c r="K73" s="648">
        <f>'P2 CF'!I26</f>
        <v>15.2</v>
      </c>
      <c r="L73" s="648">
        <f>'P2 CF'!J26</f>
        <v>16.7</v>
      </c>
      <c r="M73" s="648">
        <f>'P2 CF'!K26</f>
        <v>16.2</v>
      </c>
      <c r="N73" s="648">
        <f>'P2 CF'!L26</f>
        <v>15.7</v>
      </c>
      <c r="O73" s="648">
        <f>'P2 CF'!M26</f>
        <v>15.2</v>
      </c>
      <c r="P73" s="648">
        <f>'P2 CF'!N26</f>
        <v>14.7</v>
      </c>
      <c r="Q73" s="161"/>
    </row>
    <row r="74" spans="2:17" x14ac:dyDescent="0.2">
      <c r="B74" s="59"/>
      <c r="C74" s="142" t="str">
        <f t="shared" ref="C74:C77" si="17">C57</f>
        <v>Dry Cows</v>
      </c>
      <c r="D74" s="146" t="s">
        <v>17</v>
      </c>
      <c r="E74" s="312">
        <v>8</v>
      </c>
      <c r="F74" s="312">
        <f>E74</f>
        <v>8</v>
      </c>
      <c r="G74" s="312">
        <f t="shared" ref="G74:P77" si="18">F74</f>
        <v>8</v>
      </c>
      <c r="H74" s="312">
        <f t="shared" si="18"/>
        <v>8</v>
      </c>
      <c r="I74" s="312">
        <f t="shared" si="18"/>
        <v>8</v>
      </c>
      <c r="J74" s="312">
        <f t="shared" si="18"/>
        <v>8</v>
      </c>
      <c r="K74" s="312">
        <f t="shared" si="18"/>
        <v>8</v>
      </c>
      <c r="L74" s="312">
        <f t="shared" si="18"/>
        <v>8</v>
      </c>
      <c r="M74" s="312">
        <f t="shared" si="18"/>
        <v>8</v>
      </c>
      <c r="N74" s="312">
        <f t="shared" si="18"/>
        <v>8</v>
      </c>
      <c r="O74" s="312">
        <f t="shared" si="18"/>
        <v>8</v>
      </c>
      <c r="P74" s="312">
        <f t="shared" si="18"/>
        <v>8</v>
      </c>
      <c r="Q74" s="161"/>
    </row>
    <row r="75" spans="2:17" x14ac:dyDescent="0.2">
      <c r="B75" s="59"/>
      <c r="C75" s="142" t="str">
        <f t="shared" si="17"/>
        <v>Heifers in Calf</v>
      </c>
      <c r="D75" s="146" t="s">
        <v>17</v>
      </c>
      <c r="E75" s="312">
        <v>6</v>
      </c>
      <c r="F75" s="312">
        <f>E75</f>
        <v>6</v>
      </c>
      <c r="G75" s="312">
        <f t="shared" si="18"/>
        <v>6</v>
      </c>
      <c r="H75" s="312">
        <f t="shared" si="18"/>
        <v>6</v>
      </c>
      <c r="I75" s="312">
        <f t="shared" si="18"/>
        <v>6</v>
      </c>
      <c r="J75" s="312">
        <f t="shared" si="18"/>
        <v>6</v>
      </c>
      <c r="K75" s="312">
        <f t="shared" si="18"/>
        <v>6</v>
      </c>
      <c r="L75" s="312">
        <f t="shared" si="18"/>
        <v>6</v>
      </c>
      <c r="M75" s="312">
        <f t="shared" si="18"/>
        <v>6</v>
      </c>
      <c r="N75" s="312">
        <f t="shared" si="18"/>
        <v>6</v>
      </c>
      <c r="O75" s="312">
        <f t="shared" si="18"/>
        <v>6</v>
      </c>
      <c r="P75" s="312">
        <f t="shared" si="18"/>
        <v>6</v>
      </c>
      <c r="Q75" s="161"/>
    </row>
    <row r="76" spans="2:17" x14ac:dyDescent="0.2">
      <c r="B76" s="59"/>
      <c r="C76" s="142" t="str">
        <f t="shared" si="17"/>
        <v>Post-Weaned Heifers</v>
      </c>
      <c r="D76" s="146" t="s">
        <v>17</v>
      </c>
      <c r="E76" s="312">
        <v>3</v>
      </c>
      <c r="F76" s="312">
        <f t="shared" ref="F76:F77" si="19">E76</f>
        <v>3</v>
      </c>
      <c r="G76" s="312">
        <f t="shared" si="18"/>
        <v>3</v>
      </c>
      <c r="H76" s="312">
        <f t="shared" si="18"/>
        <v>3</v>
      </c>
      <c r="I76" s="312">
        <f t="shared" si="18"/>
        <v>3</v>
      </c>
      <c r="J76" s="312">
        <f t="shared" si="18"/>
        <v>3</v>
      </c>
      <c r="K76" s="312">
        <f t="shared" si="18"/>
        <v>3</v>
      </c>
      <c r="L76" s="312">
        <f t="shared" si="18"/>
        <v>3</v>
      </c>
      <c r="M76" s="312">
        <f t="shared" si="18"/>
        <v>3</v>
      </c>
      <c r="N76" s="312">
        <f t="shared" si="18"/>
        <v>3</v>
      </c>
      <c r="O76" s="312">
        <f t="shared" si="18"/>
        <v>3</v>
      </c>
      <c r="P76" s="312">
        <f t="shared" si="18"/>
        <v>3</v>
      </c>
      <c r="Q76" s="161"/>
    </row>
    <row r="77" spans="2:17" x14ac:dyDescent="0.2">
      <c r="B77" s="59"/>
      <c r="C77" s="142" t="str">
        <f t="shared" si="17"/>
        <v>Pre-Weaned Heifers</v>
      </c>
      <c r="D77" s="146" t="s">
        <v>17</v>
      </c>
      <c r="E77" s="312">
        <v>0</v>
      </c>
      <c r="F77" s="312">
        <f t="shared" si="19"/>
        <v>0</v>
      </c>
      <c r="G77" s="312">
        <f t="shared" si="18"/>
        <v>0</v>
      </c>
      <c r="H77" s="312">
        <f t="shared" si="18"/>
        <v>0</v>
      </c>
      <c r="I77" s="312">
        <f t="shared" si="18"/>
        <v>0</v>
      </c>
      <c r="J77" s="312">
        <f t="shared" si="18"/>
        <v>0</v>
      </c>
      <c r="K77" s="312">
        <f t="shared" si="18"/>
        <v>0</v>
      </c>
      <c r="L77" s="312">
        <f t="shared" si="18"/>
        <v>0</v>
      </c>
      <c r="M77" s="312">
        <f t="shared" si="18"/>
        <v>0</v>
      </c>
      <c r="N77" s="312">
        <f t="shared" si="18"/>
        <v>0</v>
      </c>
      <c r="O77" s="312">
        <f t="shared" si="18"/>
        <v>0</v>
      </c>
      <c r="P77" s="312">
        <f t="shared" si="18"/>
        <v>0</v>
      </c>
      <c r="Q77" s="161"/>
    </row>
    <row r="78" spans="2:17" x14ac:dyDescent="0.2">
      <c r="B78" s="59"/>
      <c r="C78" s="145" t="s">
        <v>42</v>
      </c>
      <c r="D78" s="146" t="s">
        <v>17</v>
      </c>
      <c r="E78" s="312"/>
      <c r="F78" s="312"/>
      <c r="G78" s="312"/>
      <c r="H78" s="312"/>
      <c r="I78" s="312"/>
      <c r="J78" s="312"/>
      <c r="K78" s="312"/>
      <c r="L78" s="312"/>
      <c r="M78" s="312"/>
      <c r="N78" s="312"/>
      <c r="O78" s="312"/>
      <c r="P78" s="312"/>
      <c r="Q78" s="161"/>
    </row>
    <row r="79" spans="2:17" x14ac:dyDescent="0.2">
      <c r="B79" s="59"/>
      <c r="C79" s="145" t="s">
        <v>38</v>
      </c>
      <c r="D79" s="146" t="s">
        <v>17</v>
      </c>
      <c r="E79" s="312"/>
      <c r="F79" s="312"/>
      <c r="G79" s="312"/>
      <c r="H79" s="312"/>
      <c r="I79" s="312"/>
      <c r="J79" s="312"/>
      <c r="K79" s="312"/>
      <c r="L79" s="312"/>
      <c r="M79" s="312"/>
      <c r="N79" s="312"/>
      <c r="O79" s="312"/>
      <c r="P79" s="312"/>
      <c r="Q79" s="161"/>
    </row>
    <row r="80" spans="2:17" x14ac:dyDescent="0.2">
      <c r="B80" s="59"/>
      <c r="C80" s="145" t="s">
        <v>39</v>
      </c>
      <c r="D80" s="146" t="s">
        <v>17</v>
      </c>
      <c r="E80" s="312"/>
      <c r="F80" s="312"/>
      <c r="G80" s="312"/>
      <c r="H80" s="312"/>
      <c r="I80" s="312"/>
      <c r="J80" s="312"/>
      <c r="K80" s="312"/>
      <c r="L80" s="312"/>
      <c r="M80" s="312"/>
      <c r="N80" s="312"/>
      <c r="O80" s="312"/>
      <c r="P80" s="312"/>
      <c r="Q80" s="161"/>
    </row>
    <row r="81" spans="2:19" x14ac:dyDescent="0.2">
      <c r="B81" s="59"/>
      <c r="C81" s="150"/>
      <c r="D81" s="150"/>
      <c r="E81" s="150"/>
      <c r="F81" s="150"/>
      <c r="G81" s="150"/>
      <c r="H81" s="150"/>
      <c r="I81" s="150"/>
      <c r="J81" s="150"/>
      <c r="K81" s="150"/>
      <c r="L81" s="150"/>
      <c r="M81" s="150"/>
      <c r="N81" s="150"/>
      <c r="O81" s="150"/>
      <c r="P81" s="145"/>
      <c r="Q81" s="161"/>
    </row>
    <row r="82" spans="2:19" x14ac:dyDescent="0.2">
      <c r="B82" s="59"/>
      <c r="C82" s="145" t="str">
        <f>C65</f>
        <v>Other livestock</v>
      </c>
      <c r="D82" s="146" t="s">
        <v>17</v>
      </c>
      <c r="E82" s="312"/>
      <c r="F82" s="312"/>
      <c r="G82" s="312"/>
      <c r="H82" s="312"/>
      <c r="I82" s="312"/>
      <c r="J82" s="312"/>
      <c r="K82" s="312"/>
      <c r="L82" s="312"/>
      <c r="M82" s="312"/>
      <c r="N82" s="312"/>
      <c r="O82" s="312"/>
      <c r="P82" s="312"/>
      <c r="Q82" s="161"/>
    </row>
    <row r="83" spans="2:19" x14ac:dyDescent="0.2">
      <c r="B83" s="59"/>
      <c r="C83" s="145" t="str">
        <f t="shared" ref="C83:C87" si="20">C66</f>
        <v>Other livestock</v>
      </c>
      <c r="D83" s="146" t="s">
        <v>17</v>
      </c>
      <c r="E83" s="312"/>
      <c r="F83" s="312"/>
      <c r="G83" s="312"/>
      <c r="H83" s="312"/>
      <c r="I83" s="312"/>
      <c r="J83" s="312"/>
      <c r="K83" s="312"/>
      <c r="L83" s="312"/>
      <c r="M83" s="312"/>
      <c r="N83" s="312"/>
      <c r="O83" s="312"/>
      <c r="P83" s="312"/>
      <c r="Q83" s="161"/>
    </row>
    <row r="84" spans="2:19" x14ac:dyDescent="0.2">
      <c r="B84" s="59"/>
      <c r="C84" s="145" t="str">
        <f t="shared" si="20"/>
        <v>Other livestock</v>
      </c>
      <c r="D84" s="146" t="s">
        <v>17</v>
      </c>
      <c r="E84" s="312"/>
      <c r="F84" s="312"/>
      <c r="G84" s="312"/>
      <c r="H84" s="312"/>
      <c r="I84" s="312"/>
      <c r="J84" s="312"/>
      <c r="K84" s="312"/>
      <c r="L84" s="312"/>
      <c r="M84" s="312"/>
      <c r="N84" s="312"/>
      <c r="O84" s="312"/>
      <c r="P84" s="312"/>
      <c r="Q84" s="161"/>
    </row>
    <row r="85" spans="2:19" x14ac:dyDescent="0.2">
      <c r="B85" s="59"/>
      <c r="C85" s="145" t="str">
        <f t="shared" si="20"/>
        <v>Other livestock</v>
      </c>
      <c r="D85" s="146" t="s">
        <v>17</v>
      </c>
      <c r="E85" s="312"/>
      <c r="F85" s="312"/>
      <c r="G85" s="312"/>
      <c r="H85" s="312"/>
      <c r="I85" s="312"/>
      <c r="J85" s="312"/>
      <c r="K85" s="312"/>
      <c r="L85" s="312"/>
      <c r="M85" s="312"/>
      <c r="N85" s="312"/>
      <c r="O85" s="312"/>
      <c r="P85" s="312"/>
      <c r="Q85" s="161"/>
    </row>
    <row r="86" spans="2:19" x14ac:dyDescent="0.2">
      <c r="B86" s="59"/>
      <c r="C86" s="145" t="str">
        <f t="shared" si="20"/>
        <v>Other livestock</v>
      </c>
      <c r="D86" s="146" t="s">
        <v>17</v>
      </c>
      <c r="E86" s="317"/>
      <c r="F86" s="317"/>
      <c r="G86" s="317"/>
      <c r="H86" s="317"/>
      <c r="I86" s="317"/>
      <c r="J86" s="317"/>
      <c r="K86" s="317"/>
      <c r="L86" s="317"/>
      <c r="M86" s="317"/>
      <c r="N86" s="317"/>
      <c r="O86" s="317"/>
      <c r="P86" s="317"/>
      <c r="Q86" s="161"/>
    </row>
    <row r="87" spans="2:19" x14ac:dyDescent="0.2">
      <c r="B87" s="59"/>
      <c r="C87" s="145" t="str">
        <f t="shared" si="20"/>
        <v>Other livestock</v>
      </c>
      <c r="D87" s="151" t="s">
        <v>17</v>
      </c>
      <c r="E87" s="313"/>
      <c r="F87" s="313"/>
      <c r="G87" s="313"/>
      <c r="H87" s="313"/>
      <c r="I87" s="313"/>
      <c r="J87" s="313"/>
      <c r="K87" s="313"/>
      <c r="L87" s="313"/>
      <c r="M87" s="313"/>
      <c r="N87" s="313"/>
      <c r="O87" s="313"/>
      <c r="P87" s="313"/>
      <c r="Q87" s="161"/>
    </row>
    <row r="88" spans="2:19" x14ac:dyDescent="0.2">
      <c r="B88" s="61" t="s">
        <v>25</v>
      </c>
      <c r="C88" s="55"/>
      <c r="D88" s="152" t="s">
        <v>24</v>
      </c>
      <c r="E88" s="314">
        <f t="shared" ref="E88:P88" si="21">(E56*E73+E57*E74+E58*E75+E59*E76+E60*E77+E61*E78+E62*E79+E63*E80+E65*E82+E66*E83+E67*E84+E68*E85+E69*E86+E70*E87)*E12</f>
        <v>0</v>
      </c>
      <c r="F88" s="314">
        <f t="shared" si="21"/>
        <v>0</v>
      </c>
      <c r="G88" s="314">
        <f t="shared" si="21"/>
        <v>0</v>
      </c>
      <c r="H88" s="314">
        <f t="shared" si="21"/>
        <v>0</v>
      </c>
      <c r="I88" s="314">
        <f t="shared" si="21"/>
        <v>0</v>
      </c>
      <c r="J88" s="314">
        <f t="shared" si="21"/>
        <v>0</v>
      </c>
      <c r="K88" s="314">
        <f t="shared" si="21"/>
        <v>0</v>
      </c>
      <c r="L88" s="314">
        <f t="shared" si="21"/>
        <v>0</v>
      </c>
      <c r="M88" s="314">
        <f t="shared" si="21"/>
        <v>0</v>
      </c>
      <c r="N88" s="314">
        <f t="shared" si="21"/>
        <v>0</v>
      </c>
      <c r="O88" s="314">
        <f t="shared" si="21"/>
        <v>0</v>
      </c>
      <c r="P88" s="314">
        <f t="shared" si="21"/>
        <v>0</v>
      </c>
      <c r="Q88" s="153">
        <f>SUM(E88:P88)</f>
        <v>0</v>
      </c>
    </row>
    <row r="89" spans="2:19" ht="13.5" thickBot="1" x14ac:dyDescent="0.25">
      <c r="B89" s="62"/>
      <c r="C89" s="63"/>
      <c r="D89" s="154" t="s">
        <v>21</v>
      </c>
      <c r="E89" s="315" t="e">
        <f>E88/$E12/E21</f>
        <v>#DIV/0!</v>
      </c>
      <c r="F89" s="315" t="e">
        <f>F88/$F12/F21</f>
        <v>#DIV/0!</v>
      </c>
      <c r="G89" s="315" t="e">
        <f>G88/$G12/G21</f>
        <v>#DIV/0!</v>
      </c>
      <c r="H89" s="315" t="e">
        <f>H88/$H12/H21</f>
        <v>#DIV/0!</v>
      </c>
      <c r="I89" s="315" t="e">
        <f>I88/$I12/I21</f>
        <v>#DIV/0!</v>
      </c>
      <c r="J89" s="315" t="e">
        <f>J88/$J12/J21</f>
        <v>#DIV/0!</v>
      </c>
      <c r="K89" s="315" t="e">
        <f>K88/$K12/K21</f>
        <v>#DIV/0!</v>
      </c>
      <c r="L89" s="315" t="e">
        <f>L88/$L12/L21</f>
        <v>#DIV/0!</v>
      </c>
      <c r="M89" s="315" t="e">
        <f>M88/$M12/M21</f>
        <v>#DIV/0!</v>
      </c>
      <c r="N89" s="315" t="e">
        <f>N88/$N12/N21</f>
        <v>#DIV/0!</v>
      </c>
      <c r="O89" s="315" t="e">
        <f>O88/$O12/O21</f>
        <v>#DIV/0!</v>
      </c>
      <c r="P89" s="315" t="e">
        <f>P88/$P12/P21</f>
        <v>#DIV/0!</v>
      </c>
      <c r="Q89" s="155" t="e">
        <f>Q88/Q21/Q12</f>
        <v>#DIV/0!</v>
      </c>
      <c r="R89" s="64"/>
      <c r="S89" s="64"/>
    </row>
    <row r="90" spans="2:19" ht="13.5" thickBot="1" x14ac:dyDescent="0.25">
      <c r="B90" s="65"/>
      <c r="C90" s="66"/>
      <c r="D90" s="66"/>
      <c r="E90" s="66"/>
      <c r="F90" s="66"/>
      <c r="G90" s="66"/>
      <c r="H90" s="67"/>
      <c r="I90" s="67"/>
      <c r="J90" s="67"/>
      <c r="K90" s="67"/>
      <c r="L90" s="67"/>
      <c r="M90" s="67"/>
      <c r="N90" s="67"/>
      <c r="O90" s="67"/>
      <c r="P90" s="67"/>
      <c r="Q90" s="67"/>
      <c r="R90" s="47"/>
      <c r="S90" s="47"/>
    </row>
    <row r="91" spans="2:19" ht="15.75" x14ac:dyDescent="0.25">
      <c r="B91" s="216" t="s">
        <v>85</v>
      </c>
      <c r="C91" s="217"/>
      <c r="D91" s="217"/>
      <c r="E91" s="217"/>
      <c r="F91" s="217"/>
      <c r="G91" s="217"/>
      <c r="H91" s="218"/>
      <c r="I91" s="218"/>
      <c r="J91" s="218"/>
      <c r="K91" s="218"/>
      <c r="L91" s="218"/>
      <c r="M91" s="218"/>
      <c r="N91" s="218"/>
      <c r="O91" s="218"/>
      <c r="P91" s="218"/>
      <c r="Q91" s="219"/>
      <c r="R91" s="47"/>
      <c r="S91" s="47"/>
    </row>
    <row r="92" spans="2:19" x14ac:dyDescent="0.2">
      <c r="B92" s="184" t="s">
        <v>1</v>
      </c>
      <c r="C92" s="185"/>
      <c r="D92" s="32"/>
      <c r="E92" s="526" t="str">
        <f t="shared" ref="E92:P92" si="22">E11</f>
        <v>Mar</v>
      </c>
      <c r="F92" s="526" t="str">
        <f t="shared" si="22"/>
        <v>Apr</v>
      </c>
      <c r="G92" s="526" t="str">
        <f t="shared" si="22"/>
        <v>May</v>
      </c>
      <c r="H92" s="526" t="str">
        <f t="shared" si="22"/>
        <v>Jun</v>
      </c>
      <c r="I92" s="526" t="str">
        <f t="shared" si="22"/>
        <v>Jul</v>
      </c>
      <c r="J92" s="526" t="str">
        <f t="shared" si="22"/>
        <v>Aug</v>
      </c>
      <c r="K92" s="526" t="str">
        <f t="shared" si="22"/>
        <v>Sep</v>
      </c>
      <c r="L92" s="526" t="str">
        <f t="shared" si="22"/>
        <v>Oct</v>
      </c>
      <c r="M92" s="526" t="str">
        <f t="shared" si="22"/>
        <v>Nov</v>
      </c>
      <c r="N92" s="526" t="str">
        <f t="shared" si="22"/>
        <v>Dec</v>
      </c>
      <c r="O92" s="526" t="str">
        <f t="shared" si="22"/>
        <v>Jan</v>
      </c>
      <c r="P92" s="526" t="str">
        <f t="shared" si="22"/>
        <v>Feb</v>
      </c>
      <c r="Q92" s="220"/>
      <c r="R92" s="64"/>
      <c r="S92" s="64"/>
    </row>
    <row r="93" spans="2:19" hidden="1" x14ac:dyDescent="0.2">
      <c r="B93" s="180" t="s">
        <v>29</v>
      </c>
      <c r="C93" s="166"/>
      <c r="D93" s="167"/>
      <c r="E93" s="166"/>
      <c r="F93" s="166"/>
      <c r="G93" s="166"/>
      <c r="H93" s="166"/>
      <c r="I93" s="166"/>
      <c r="J93" s="166"/>
      <c r="K93" s="166"/>
      <c r="L93" s="166"/>
      <c r="M93" s="166"/>
      <c r="N93" s="166"/>
      <c r="O93" s="166"/>
      <c r="P93" s="170"/>
      <c r="Q93" s="221"/>
    </row>
    <row r="94" spans="2:19" hidden="1" x14ac:dyDescent="0.2">
      <c r="B94" s="180"/>
      <c r="C94" s="166"/>
      <c r="D94" s="196" t="s">
        <v>24</v>
      </c>
      <c r="E94" s="194">
        <f>E51-E88</f>
        <v>0</v>
      </c>
      <c r="F94" s="186">
        <f t="shared" ref="F94:P94" si="23">F51-F88</f>
        <v>0</v>
      </c>
      <c r="G94" s="186">
        <f t="shared" si="23"/>
        <v>0</v>
      </c>
      <c r="H94" s="186">
        <f t="shared" si="23"/>
        <v>0</v>
      </c>
      <c r="I94" s="186">
        <f t="shared" si="23"/>
        <v>0</v>
      </c>
      <c r="J94" s="186">
        <f t="shared" si="23"/>
        <v>0</v>
      </c>
      <c r="K94" s="186">
        <f t="shared" si="23"/>
        <v>0</v>
      </c>
      <c r="L94" s="186">
        <f t="shared" si="23"/>
        <v>0</v>
      </c>
      <c r="M94" s="186">
        <f t="shared" si="23"/>
        <v>0</v>
      </c>
      <c r="N94" s="186">
        <f t="shared" si="23"/>
        <v>0</v>
      </c>
      <c r="O94" s="186">
        <f t="shared" si="23"/>
        <v>0</v>
      </c>
      <c r="P94" s="232">
        <f t="shared" si="23"/>
        <v>0</v>
      </c>
      <c r="Q94" s="222">
        <f>SUM(E94:P94)</f>
        <v>0</v>
      </c>
    </row>
    <row r="95" spans="2:19" hidden="1" x14ac:dyDescent="0.2">
      <c r="B95" s="181"/>
      <c r="C95" s="166"/>
      <c r="D95" s="197" t="s">
        <v>21</v>
      </c>
      <c r="E95" s="195" t="e">
        <f t="shared" ref="E95:Q95" si="24">E94/E21/E12</f>
        <v>#DIV/0!</v>
      </c>
      <c r="F95" s="187" t="e">
        <f t="shared" si="24"/>
        <v>#DIV/0!</v>
      </c>
      <c r="G95" s="187" t="e">
        <f t="shared" si="24"/>
        <v>#DIV/0!</v>
      </c>
      <c r="H95" s="187" t="e">
        <f t="shared" si="24"/>
        <v>#DIV/0!</v>
      </c>
      <c r="I95" s="187" t="e">
        <f t="shared" si="24"/>
        <v>#DIV/0!</v>
      </c>
      <c r="J95" s="187" t="e">
        <f t="shared" si="24"/>
        <v>#DIV/0!</v>
      </c>
      <c r="K95" s="187" t="e">
        <f t="shared" si="24"/>
        <v>#DIV/0!</v>
      </c>
      <c r="L95" s="187" t="e">
        <f t="shared" si="24"/>
        <v>#DIV/0!</v>
      </c>
      <c r="M95" s="187" t="e">
        <f t="shared" si="24"/>
        <v>#DIV/0!</v>
      </c>
      <c r="N95" s="187" t="e">
        <f t="shared" si="24"/>
        <v>#DIV/0!</v>
      </c>
      <c r="O95" s="187" t="e">
        <f t="shared" si="24"/>
        <v>#DIV/0!</v>
      </c>
      <c r="P95" s="233" t="e">
        <f t="shared" si="24"/>
        <v>#DIV/0!</v>
      </c>
      <c r="Q95" s="223" t="e">
        <f t="shared" si="24"/>
        <v>#DIV/0!</v>
      </c>
    </row>
    <row r="96" spans="2:19" hidden="1" x14ac:dyDescent="0.2">
      <c r="B96" s="182" t="s">
        <v>36</v>
      </c>
      <c r="C96" s="168"/>
      <c r="D96" s="169"/>
      <c r="E96" s="168"/>
      <c r="F96" s="168"/>
      <c r="G96" s="168"/>
      <c r="H96" s="168"/>
      <c r="I96" s="168"/>
      <c r="J96" s="168"/>
      <c r="K96" s="168"/>
      <c r="L96" s="168"/>
      <c r="M96" s="168"/>
      <c r="N96" s="168"/>
      <c r="O96" s="168"/>
      <c r="P96" s="234"/>
      <c r="Q96" s="224"/>
    </row>
    <row r="97" spans="2:17" hidden="1" x14ac:dyDescent="0.2">
      <c r="B97" s="193" t="s">
        <v>27</v>
      </c>
      <c r="C97" s="188"/>
      <c r="D97" s="190" t="s">
        <v>47</v>
      </c>
      <c r="E97" s="290">
        <v>1800</v>
      </c>
      <c r="F97" s="288" t="e">
        <f>E98</f>
        <v>#DIV/0!</v>
      </c>
      <c r="G97" s="288" t="e">
        <f t="shared" ref="G97:P97" si="25">F98</f>
        <v>#DIV/0!</v>
      </c>
      <c r="H97" s="288" t="e">
        <f t="shared" si="25"/>
        <v>#DIV/0!</v>
      </c>
      <c r="I97" s="288" t="e">
        <f t="shared" si="25"/>
        <v>#DIV/0!</v>
      </c>
      <c r="J97" s="288" t="e">
        <f t="shared" si="25"/>
        <v>#DIV/0!</v>
      </c>
      <c r="K97" s="288" t="e">
        <f t="shared" si="25"/>
        <v>#DIV/0!</v>
      </c>
      <c r="L97" s="288" t="e">
        <f t="shared" si="25"/>
        <v>#DIV/0!</v>
      </c>
      <c r="M97" s="288" t="e">
        <f t="shared" si="25"/>
        <v>#DIV/0!</v>
      </c>
      <c r="N97" s="288" t="e">
        <f t="shared" si="25"/>
        <v>#DIV/0!</v>
      </c>
      <c r="O97" s="288" t="e">
        <f t="shared" si="25"/>
        <v>#DIV/0!</v>
      </c>
      <c r="P97" s="514" t="e">
        <f t="shared" si="25"/>
        <v>#DIV/0!</v>
      </c>
      <c r="Q97" s="221"/>
    </row>
    <row r="98" spans="2:17" hidden="1" x14ac:dyDescent="0.2">
      <c r="B98" s="183" t="s">
        <v>32</v>
      </c>
      <c r="C98" s="191"/>
      <c r="D98" s="192" t="s">
        <v>47</v>
      </c>
      <c r="E98" s="515" t="e">
        <f t="shared" ref="E98:P98" si="26">E97+E94/E21</f>
        <v>#DIV/0!</v>
      </c>
      <c r="F98" s="516" t="e">
        <f t="shared" si="26"/>
        <v>#DIV/0!</v>
      </c>
      <c r="G98" s="516" t="e">
        <f t="shared" si="26"/>
        <v>#DIV/0!</v>
      </c>
      <c r="H98" s="516" t="e">
        <f t="shared" si="26"/>
        <v>#DIV/0!</v>
      </c>
      <c r="I98" s="516" t="e">
        <f t="shared" si="26"/>
        <v>#DIV/0!</v>
      </c>
      <c r="J98" s="516" t="e">
        <f t="shared" si="26"/>
        <v>#DIV/0!</v>
      </c>
      <c r="K98" s="516" t="e">
        <f t="shared" si="26"/>
        <v>#DIV/0!</v>
      </c>
      <c r="L98" s="516" t="e">
        <f t="shared" si="26"/>
        <v>#DIV/0!</v>
      </c>
      <c r="M98" s="516" t="e">
        <f t="shared" si="26"/>
        <v>#DIV/0!</v>
      </c>
      <c r="N98" s="516" t="e">
        <f t="shared" si="26"/>
        <v>#DIV/0!</v>
      </c>
      <c r="O98" s="516" t="e">
        <f t="shared" si="26"/>
        <v>#DIV/0!</v>
      </c>
      <c r="P98" s="517" t="e">
        <f t="shared" si="26"/>
        <v>#DIV/0!</v>
      </c>
      <c r="Q98" s="225"/>
    </row>
    <row r="99" spans="2:17" x14ac:dyDescent="0.2">
      <c r="B99" s="177" t="s">
        <v>31</v>
      </c>
      <c r="C99" s="171"/>
      <c r="D99" s="172"/>
      <c r="E99" s="171"/>
      <c r="F99" s="171"/>
      <c r="G99" s="171"/>
      <c r="H99" s="171"/>
      <c r="I99" s="171"/>
      <c r="J99" s="171"/>
      <c r="K99" s="171"/>
      <c r="L99" s="171"/>
      <c r="M99" s="171"/>
      <c r="N99" s="171"/>
      <c r="O99" s="171"/>
      <c r="P99" s="172"/>
      <c r="Q99" s="226"/>
    </row>
    <row r="100" spans="2:17" x14ac:dyDescent="0.2">
      <c r="B100" s="178"/>
      <c r="C100" s="171" t="s">
        <v>314</v>
      </c>
      <c r="D100" s="173" t="s">
        <v>24</v>
      </c>
      <c r="E100" s="174">
        <f>SUM('P2 Feeding'!D5:D7)</f>
        <v>0</v>
      </c>
      <c r="F100" s="174">
        <f>SUM('P2 Feeding'!E5:E7)</f>
        <v>0</v>
      </c>
      <c r="G100" s="174">
        <f>SUM('P2 Feeding'!F5:F7)</f>
        <v>0</v>
      </c>
      <c r="H100" s="174">
        <f>SUM('P2 Feeding'!G5:G7)</f>
        <v>0</v>
      </c>
      <c r="I100" s="174">
        <f>SUM('P2 Feeding'!H5:H7)</f>
        <v>0</v>
      </c>
      <c r="J100" s="174">
        <f>SUM('P2 Feeding'!I5:I7)</f>
        <v>0</v>
      </c>
      <c r="K100" s="174">
        <f>SUM('P2 Feeding'!J5:J7)</f>
        <v>0</v>
      </c>
      <c r="L100" s="174">
        <f>SUM('P2 Feeding'!K5:K7)</f>
        <v>0</v>
      </c>
      <c r="M100" s="174">
        <f>SUM('P2 Feeding'!L5:L7)</f>
        <v>0</v>
      </c>
      <c r="N100" s="174">
        <f>SUM('P2 Feeding'!M5:M7)</f>
        <v>0</v>
      </c>
      <c r="O100" s="174">
        <f>SUM('P2 Feeding'!N5:N7)</f>
        <v>0</v>
      </c>
      <c r="P100" s="235">
        <f>SUM('P2 Feeding'!O5:O7)</f>
        <v>0</v>
      </c>
      <c r="Q100" s="226">
        <f t="shared" ref="Q100:Q106" si="27">SUM(E100:P100)</f>
        <v>0</v>
      </c>
    </row>
    <row r="101" spans="2:17" x14ac:dyDescent="0.2">
      <c r="B101" s="178"/>
      <c r="C101" s="171" t="s">
        <v>476</v>
      </c>
      <c r="D101" s="173" t="s">
        <v>24</v>
      </c>
      <c r="E101" s="174">
        <f>SUM('P2 Feeding'!D8:D11)</f>
        <v>0</v>
      </c>
      <c r="F101" s="174">
        <f>SUM('P2 Feeding'!E8:E11)</f>
        <v>0</v>
      </c>
      <c r="G101" s="174">
        <f>SUM('P2 Feeding'!F8:F11)</f>
        <v>0</v>
      </c>
      <c r="H101" s="174">
        <f>SUM('P2 Feeding'!G8:G11)</f>
        <v>0</v>
      </c>
      <c r="I101" s="174">
        <f>SUM('P2 Feeding'!H8:H11)</f>
        <v>0</v>
      </c>
      <c r="J101" s="174">
        <f>SUM('P2 Feeding'!I8:I11)</f>
        <v>0</v>
      </c>
      <c r="K101" s="174">
        <f>SUM('P2 Feeding'!J8:J11)</f>
        <v>0</v>
      </c>
      <c r="L101" s="174">
        <f>SUM('P2 Feeding'!K8:K11)</f>
        <v>0</v>
      </c>
      <c r="M101" s="174">
        <f>SUM('P2 Feeding'!L8:L11)</f>
        <v>0</v>
      </c>
      <c r="N101" s="174">
        <f>SUM('P2 Feeding'!M8:M11)</f>
        <v>0</v>
      </c>
      <c r="O101" s="174">
        <f>SUM('P2 Feeding'!N8:N11)</f>
        <v>0</v>
      </c>
      <c r="P101" s="235">
        <f>SUM('P2 Feeding'!O8:O11)</f>
        <v>0</v>
      </c>
      <c r="Q101" s="226">
        <f t="shared" si="27"/>
        <v>0</v>
      </c>
    </row>
    <row r="102" spans="2:17" x14ac:dyDescent="0.2">
      <c r="B102" s="178"/>
      <c r="C102" s="171" t="s">
        <v>477</v>
      </c>
      <c r="D102" s="173" t="s">
        <v>24</v>
      </c>
      <c r="E102" s="174">
        <f>SUM('P2 Feeding'!D16:D22)</f>
        <v>0</v>
      </c>
      <c r="F102" s="174">
        <f>SUM('P2 Feeding'!E16:E22)</f>
        <v>0</v>
      </c>
      <c r="G102" s="174">
        <f>SUM('P2 Feeding'!F16:F22)</f>
        <v>0</v>
      </c>
      <c r="H102" s="174">
        <f>SUM('P2 Feeding'!G16:G22)</f>
        <v>0</v>
      </c>
      <c r="I102" s="174">
        <f>SUM('P2 Feeding'!H16:H22)</f>
        <v>0</v>
      </c>
      <c r="J102" s="174">
        <f>SUM('P2 Feeding'!I16:I22)</f>
        <v>0</v>
      </c>
      <c r="K102" s="174">
        <f>SUM('P2 Feeding'!J16:J22)</f>
        <v>0</v>
      </c>
      <c r="L102" s="174">
        <f>SUM('P2 Feeding'!K16:K22)</f>
        <v>0</v>
      </c>
      <c r="M102" s="174">
        <f>SUM('P2 Feeding'!L16:L22)</f>
        <v>0</v>
      </c>
      <c r="N102" s="174">
        <f>SUM('P2 Feeding'!M16:M22)</f>
        <v>0</v>
      </c>
      <c r="O102" s="174">
        <f>SUM('P2 Feeding'!N16:N22)</f>
        <v>0</v>
      </c>
      <c r="P102" s="235">
        <f>SUM('P2 Feeding'!O16:O22)</f>
        <v>0</v>
      </c>
      <c r="Q102" s="226">
        <f t="shared" si="27"/>
        <v>0</v>
      </c>
    </row>
    <row r="103" spans="2:17" x14ac:dyDescent="0.2">
      <c r="B103" s="178"/>
      <c r="C103" s="171" t="s">
        <v>494</v>
      </c>
      <c r="D103" s="173" t="s">
        <v>24</v>
      </c>
      <c r="E103" s="174">
        <f>SUM('P2 Feeding'!D12:D15)</f>
        <v>0</v>
      </c>
      <c r="F103" s="174">
        <f>SUM('P2 Feeding'!E12:E15)</f>
        <v>0</v>
      </c>
      <c r="G103" s="174">
        <f>SUM('P2 Feeding'!F12:F15)</f>
        <v>0</v>
      </c>
      <c r="H103" s="174">
        <f>SUM('P2 Feeding'!G12:G15)</f>
        <v>0</v>
      </c>
      <c r="I103" s="174">
        <f>SUM('P2 Feeding'!H12:H15)</f>
        <v>0</v>
      </c>
      <c r="J103" s="174">
        <f>SUM('P2 Feeding'!I12:I15)</f>
        <v>0</v>
      </c>
      <c r="K103" s="174">
        <f>SUM('P2 Feeding'!J12:J15)</f>
        <v>0</v>
      </c>
      <c r="L103" s="174">
        <f>SUM('P2 Feeding'!K12:K15)</f>
        <v>0</v>
      </c>
      <c r="M103" s="174">
        <f>SUM('P2 Feeding'!L12:L15)</f>
        <v>0</v>
      </c>
      <c r="N103" s="174">
        <f>SUM('P2 Feeding'!M12:M15)</f>
        <v>0</v>
      </c>
      <c r="O103" s="174">
        <f>SUM('P2 Feeding'!N12:N15)</f>
        <v>0</v>
      </c>
      <c r="P103" s="235">
        <f>SUM('P2 Feeding'!O12:O15)</f>
        <v>0</v>
      </c>
      <c r="Q103" s="226">
        <f t="shared" si="27"/>
        <v>0</v>
      </c>
    </row>
    <row r="104" spans="2:17" x14ac:dyDescent="0.2">
      <c r="B104" s="178"/>
      <c r="C104" s="171"/>
      <c r="D104" s="173" t="s">
        <v>24</v>
      </c>
      <c r="E104" s="174"/>
      <c r="F104" s="174"/>
      <c r="G104" s="174"/>
      <c r="H104" s="174"/>
      <c r="I104" s="174"/>
      <c r="J104" s="174"/>
      <c r="K104" s="174"/>
      <c r="L104" s="174"/>
      <c r="M104" s="174"/>
      <c r="N104" s="174"/>
      <c r="O104" s="174"/>
      <c r="P104" s="235"/>
      <c r="Q104" s="226">
        <f t="shared" si="27"/>
        <v>0</v>
      </c>
    </row>
    <row r="105" spans="2:17" x14ac:dyDescent="0.2">
      <c r="B105" s="178"/>
      <c r="C105" s="171"/>
      <c r="D105" s="173" t="s">
        <v>24</v>
      </c>
      <c r="E105" s="174"/>
      <c r="F105" s="174"/>
      <c r="G105" s="174"/>
      <c r="H105" s="174"/>
      <c r="I105" s="174"/>
      <c r="J105" s="174"/>
      <c r="K105" s="174"/>
      <c r="L105" s="174"/>
      <c r="M105" s="174"/>
      <c r="N105" s="174"/>
      <c r="O105" s="174"/>
      <c r="P105" s="235"/>
      <c r="Q105" s="226">
        <f t="shared" si="27"/>
        <v>0</v>
      </c>
    </row>
    <row r="106" spans="2:17" x14ac:dyDescent="0.2">
      <c r="B106" s="179"/>
      <c r="C106" s="175" t="s">
        <v>0</v>
      </c>
      <c r="D106" s="176"/>
      <c r="E106" s="520">
        <f>SUM(E100:E105)</f>
        <v>0</v>
      </c>
      <c r="F106" s="520">
        <f t="shared" ref="F106:P106" si="28">SUM(F100:F105)</f>
        <v>0</v>
      </c>
      <c r="G106" s="520">
        <f t="shared" si="28"/>
        <v>0</v>
      </c>
      <c r="H106" s="520">
        <f t="shared" si="28"/>
        <v>0</v>
      </c>
      <c r="I106" s="520">
        <f t="shared" si="28"/>
        <v>0</v>
      </c>
      <c r="J106" s="520">
        <f t="shared" si="28"/>
        <v>0</v>
      </c>
      <c r="K106" s="520">
        <f t="shared" si="28"/>
        <v>0</v>
      </c>
      <c r="L106" s="520">
        <f t="shared" si="28"/>
        <v>0</v>
      </c>
      <c r="M106" s="520">
        <f t="shared" si="28"/>
        <v>0</v>
      </c>
      <c r="N106" s="520">
        <f t="shared" si="28"/>
        <v>0</v>
      </c>
      <c r="O106" s="520">
        <f t="shared" si="28"/>
        <v>0</v>
      </c>
      <c r="P106" s="521">
        <f t="shared" si="28"/>
        <v>0</v>
      </c>
      <c r="Q106" s="522">
        <f t="shared" si="27"/>
        <v>0</v>
      </c>
    </row>
    <row r="107" spans="2:17" x14ac:dyDescent="0.2">
      <c r="B107" s="198" t="s">
        <v>30</v>
      </c>
      <c r="C107" s="199"/>
      <c r="D107" s="200"/>
      <c r="E107" s="199"/>
      <c r="F107" s="199"/>
      <c r="G107" s="199"/>
      <c r="H107" s="199"/>
      <c r="I107" s="199"/>
      <c r="J107" s="199"/>
      <c r="K107" s="199"/>
      <c r="L107" s="199"/>
      <c r="M107" s="199"/>
      <c r="N107" s="199"/>
      <c r="O107" s="199"/>
      <c r="P107" s="200"/>
      <c r="Q107" s="227"/>
    </row>
    <row r="108" spans="2:17" x14ac:dyDescent="0.2">
      <c r="B108" s="201"/>
      <c r="C108" s="199"/>
      <c r="D108" s="202" t="s">
        <v>24</v>
      </c>
      <c r="E108" s="203">
        <f>E51+E106-E88</f>
        <v>0</v>
      </c>
      <c r="F108" s="204">
        <f t="shared" ref="F108:Q108" si="29">F51+F106-F88</f>
        <v>0</v>
      </c>
      <c r="G108" s="204">
        <f t="shared" si="29"/>
        <v>0</v>
      </c>
      <c r="H108" s="204">
        <f t="shared" si="29"/>
        <v>0</v>
      </c>
      <c r="I108" s="204">
        <f t="shared" si="29"/>
        <v>0</v>
      </c>
      <c r="J108" s="204">
        <f t="shared" si="29"/>
        <v>0</v>
      </c>
      <c r="K108" s="204">
        <f t="shared" si="29"/>
        <v>0</v>
      </c>
      <c r="L108" s="204">
        <f t="shared" si="29"/>
        <v>0</v>
      </c>
      <c r="M108" s="204">
        <f t="shared" si="29"/>
        <v>0</v>
      </c>
      <c r="N108" s="204">
        <f t="shared" si="29"/>
        <v>0</v>
      </c>
      <c r="O108" s="204">
        <f t="shared" si="29"/>
        <v>0</v>
      </c>
      <c r="P108" s="212">
        <f t="shared" si="29"/>
        <v>0</v>
      </c>
      <c r="Q108" s="228">
        <f t="shared" si="29"/>
        <v>0</v>
      </c>
    </row>
    <row r="109" spans="2:17" x14ac:dyDescent="0.2">
      <c r="B109" s="201"/>
      <c r="C109" s="199"/>
      <c r="D109" s="205" t="s">
        <v>21</v>
      </c>
      <c r="E109" s="206" t="e">
        <f>E108/E21/E12</f>
        <v>#DIV/0!</v>
      </c>
      <c r="F109" s="207" t="e">
        <f t="shared" ref="F109:Q109" si="30">F108/F21/F12</f>
        <v>#DIV/0!</v>
      </c>
      <c r="G109" s="207" t="e">
        <f t="shared" si="30"/>
        <v>#DIV/0!</v>
      </c>
      <c r="H109" s="207" t="e">
        <f t="shared" si="30"/>
        <v>#DIV/0!</v>
      </c>
      <c r="I109" s="207" t="e">
        <f t="shared" si="30"/>
        <v>#DIV/0!</v>
      </c>
      <c r="J109" s="207" t="e">
        <f t="shared" si="30"/>
        <v>#DIV/0!</v>
      </c>
      <c r="K109" s="207" t="e">
        <f t="shared" si="30"/>
        <v>#DIV/0!</v>
      </c>
      <c r="L109" s="207" t="e">
        <f t="shared" si="30"/>
        <v>#DIV/0!</v>
      </c>
      <c r="M109" s="207" t="e">
        <f t="shared" si="30"/>
        <v>#DIV/0!</v>
      </c>
      <c r="N109" s="207" t="e">
        <f t="shared" si="30"/>
        <v>#DIV/0!</v>
      </c>
      <c r="O109" s="207" t="e">
        <f t="shared" si="30"/>
        <v>#DIV/0!</v>
      </c>
      <c r="P109" s="236" t="e">
        <f t="shared" si="30"/>
        <v>#DIV/0!</v>
      </c>
      <c r="Q109" s="229" t="e">
        <f t="shared" si="30"/>
        <v>#DIV/0!</v>
      </c>
    </row>
    <row r="110" spans="2:17" x14ac:dyDescent="0.2">
      <c r="B110" s="208" t="s">
        <v>37</v>
      </c>
      <c r="C110" s="209"/>
      <c r="D110" s="210"/>
      <c r="E110" s="209"/>
      <c r="F110" s="209"/>
      <c r="G110" s="209"/>
      <c r="H110" s="209"/>
      <c r="I110" s="209"/>
      <c r="J110" s="209"/>
      <c r="K110" s="209"/>
      <c r="L110" s="209"/>
      <c r="M110" s="209"/>
      <c r="N110" s="209"/>
      <c r="O110" s="209"/>
      <c r="P110" s="237"/>
      <c r="Q110" s="230"/>
    </row>
    <row r="111" spans="2:17" x14ac:dyDescent="0.2">
      <c r="B111" s="211" t="s">
        <v>27</v>
      </c>
      <c r="C111" s="204"/>
      <c r="D111" s="212" t="s">
        <v>21</v>
      </c>
      <c r="E111" s="290">
        <v>2000</v>
      </c>
      <c r="F111" s="288">
        <f>E112</f>
        <v>2000</v>
      </c>
      <c r="G111" s="288">
        <f t="shared" ref="G111:P111" si="31">F112</f>
        <v>2000</v>
      </c>
      <c r="H111" s="288">
        <f t="shared" si="31"/>
        <v>2000</v>
      </c>
      <c r="I111" s="288">
        <f t="shared" si="31"/>
        <v>2000</v>
      </c>
      <c r="J111" s="288">
        <f t="shared" si="31"/>
        <v>2000</v>
      </c>
      <c r="K111" s="288">
        <f t="shared" si="31"/>
        <v>2000</v>
      </c>
      <c r="L111" s="288">
        <f t="shared" si="31"/>
        <v>2000</v>
      </c>
      <c r="M111" s="288">
        <f t="shared" si="31"/>
        <v>2000</v>
      </c>
      <c r="N111" s="288">
        <f t="shared" si="31"/>
        <v>2000</v>
      </c>
      <c r="O111" s="288">
        <f t="shared" si="31"/>
        <v>2000</v>
      </c>
      <c r="P111" s="514">
        <f t="shared" si="31"/>
        <v>2000</v>
      </c>
      <c r="Q111" s="227"/>
    </row>
    <row r="112" spans="2:17" ht="13.5" thickBot="1" x14ac:dyDescent="0.25">
      <c r="B112" s="213" t="s">
        <v>32</v>
      </c>
      <c r="C112" s="214"/>
      <c r="D112" s="215" t="s">
        <v>21</v>
      </c>
      <c r="E112" s="518">
        <f>IFERROR(E111+(E108/E21),E111)</f>
        <v>2000</v>
      </c>
      <c r="F112" s="303">
        <f t="shared" ref="F112:P112" si="32">IFERROR(F111+(F108/F21),F111)</f>
        <v>2000</v>
      </c>
      <c r="G112" s="303">
        <f t="shared" si="32"/>
        <v>2000</v>
      </c>
      <c r="H112" s="303">
        <f t="shared" si="32"/>
        <v>2000</v>
      </c>
      <c r="I112" s="303">
        <f t="shared" si="32"/>
        <v>2000</v>
      </c>
      <c r="J112" s="303">
        <f t="shared" si="32"/>
        <v>2000</v>
      </c>
      <c r="K112" s="303">
        <f t="shared" si="32"/>
        <v>2000</v>
      </c>
      <c r="L112" s="303">
        <f t="shared" si="32"/>
        <v>2000</v>
      </c>
      <c r="M112" s="303">
        <f t="shared" si="32"/>
        <v>2000</v>
      </c>
      <c r="N112" s="303">
        <f t="shared" si="32"/>
        <v>2000</v>
      </c>
      <c r="O112" s="303">
        <f t="shared" si="32"/>
        <v>2000</v>
      </c>
      <c r="P112" s="519">
        <f t="shared" si="32"/>
        <v>2000</v>
      </c>
      <c r="Q112" s="231"/>
    </row>
  </sheetData>
  <mergeCells count="2">
    <mergeCell ref="B1:Q1"/>
    <mergeCell ref="B2:C2"/>
  </mergeCells>
  <hyperlinks>
    <hyperlink ref="B2" location="Instructions!A30" display="Instructions" xr:uid="{698F3FAD-C6FB-4C3B-8183-C8123E9F76C9}"/>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0B76-BFD6-4ECD-A0EE-688EB9B12FEE}">
  <sheetPr>
    <tabColor rgb="FFFF0000"/>
  </sheetPr>
  <dimension ref="A1:AE145"/>
  <sheetViews>
    <sheetView workbookViewId="0">
      <selection activeCell="B52" sqref="B52"/>
    </sheetView>
  </sheetViews>
  <sheetFormatPr defaultColWidth="9.33203125" defaultRowHeight="12.75" x14ac:dyDescent="0.2"/>
  <cols>
    <col min="1" max="1" width="22.83203125" style="2" customWidth="1"/>
    <col min="2" max="2" width="16.33203125" style="2" customWidth="1"/>
    <col min="3" max="15" width="10.33203125" style="2" customWidth="1"/>
    <col min="16" max="17" width="3" style="2" customWidth="1"/>
    <col min="18" max="18" width="23.33203125" style="2" customWidth="1"/>
    <col min="19" max="19" width="13.1640625" style="2" bestFit="1" customWidth="1"/>
    <col min="20" max="16384" width="9.33203125" style="2"/>
  </cols>
  <sheetData>
    <row r="1" spans="1:14" ht="18.75" x14ac:dyDescent="0.3">
      <c r="A1" s="836" t="s">
        <v>284</v>
      </c>
      <c r="B1" s="836"/>
      <c r="C1" s="836"/>
      <c r="D1" s="836"/>
      <c r="E1" s="836"/>
      <c r="F1" s="836"/>
      <c r="G1" s="836"/>
      <c r="H1" s="836"/>
      <c r="I1" s="836"/>
      <c r="J1" s="836"/>
      <c r="K1" s="836"/>
      <c r="L1" s="836"/>
      <c r="M1" s="836"/>
      <c r="N1" s="836"/>
    </row>
    <row r="3" spans="1:14" ht="15.75" x14ac:dyDescent="0.25">
      <c r="A3" s="284" t="s">
        <v>175</v>
      </c>
      <c r="C3" s="2">
        <v>0</v>
      </c>
    </row>
    <row r="5" spans="1:14" ht="15.75" x14ac:dyDescent="0.25">
      <c r="A5" s="16"/>
    </row>
    <row r="6" spans="1:14" ht="16.5" thickBot="1" x14ac:dyDescent="0.3">
      <c r="A6" s="551" t="s">
        <v>457</v>
      </c>
      <c r="C6" s="370"/>
    </row>
    <row r="7" spans="1:14" x14ac:dyDescent="0.2">
      <c r="A7" s="19" t="s">
        <v>315</v>
      </c>
      <c r="B7" s="550"/>
      <c r="C7" s="19" t="str">
        <f>'P2 Area'!C6</f>
        <v>Mar</v>
      </c>
      <c r="D7" s="19" t="str">
        <f>'P2 Area'!D6</f>
        <v>Apr</v>
      </c>
      <c r="E7" s="19" t="str">
        <f>'P2 Area'!E6</f>
        <v>May</v>
      </c>
      <c r="F7" s="19" t="str">
        <f>'P2 Area'!F6</f>
        <v>Jun</v>
      </c>
      <c r="G7" s="19" t="str">
        <f>'P2 Area'!G6</f>
        <v>Jul</v>
      </c>
      <c r="H7" s="19" t="str">
        <f>'P2 Area'!H6</f>
        <v>Aug</v>
      </c>
      <c r="I7" s="19" t="str">
        <f>'P2 Area'!I6</f>
        <v>Sep</v>
      </c>
      <c r="J7" s="19" t="str">
        <f>'P2 Area'!J6</f>
        <v>Oct</v>
      </c>
      <c r="K7" s="19" t="str">
        <f>'P2 Area'!K6</f>
        <v>Nov</v>
      </c>
      <c r="L7" s="19" t="str">
        <f>'P2 Area'!L6</f>
        <v>Dec</v>
      </c>
      <c r="M7" s="19" t="str">
        <f>'P2 Area'!M6</f>
        <v>Jan</v>
      </c>
      <c r="N7" s="19" t="str">
        <f>'P2 Area'!N6</f>
        <v>Feb</v>
      </c>
    </row>
    <row r="8" spans="1:14" x14ac:dyDescent="0.2">
      <c r="A8" s="242" t="s">
        <v>464</v>
      </c>
      <c r="B8" s="243" t="s">
        <v>40</v>
      </c>
      <c r="C8" s="640">
        <f>'P2 Feeding'!D8</f>
        <v>0</v>
      </c>
      <c r="D8" s="640">
        <f>'P2 Feeding'!E8</f>
        <v>0</v>
      </c>
      <c r="E8" s="640">
        <f>'P2 Feeding'!F8</f>
        <v>0</v>
      </c>
      <c r="F8" s="640">
        <f>'P2 Feeding'!G8</f>
        <v>0</v>
      </c>
      <c r="G8" s="640">
        <f>'P2 Feeding'!H8</f>
        <v>0</v>
      </c>
      <c r="H8" s="640">
        <f>'P2 Feeding'!I8</f>
        <v>0</v>
      </c>
      <c r="I8" s="640">
        <f>'P2 Feeding'!J8</f>
        <v>0</v>
      </c>
      <c r="J8" s="640">
        <f>'P2 Feeding'!K8</f>
        <v>0</v>
      </c>
      <c r="K8" s="640">
        <f>'P2 Feeding'!L8</f>
        <v>0</v>
      </c>
      <c r="L8" s="640">
        <f>'P2 Feeding'!M8</f>
        <v>0</v>
      </c>
      <c r="M8" s="640">
        <f>'P2 Feeding'!N8</f>
        <v>0</v>
      </c>
      <c r="N8" s="640">
        <f>'P2 Feeding'!O8</f>
        <v>0</v>
      </c>
    </row>
    <row r="9" spans="1:14" x14ac:dyDescent="0.2">
      <c r="A9" s="244" t="s">
        <v>461</v>
      </c>
      <c r="B9" s="245" t="s">
        <v>462</v>
      </c>
      <c r="C9" s="309">
        <v>0.8</v>
      </c>
      <c r="D9" s="641">
        <f>C9</f>
        <v>0.8</v>
      </c>
      <c r="E9" s="641">
        <f t="shared" ref="E9:N9" si="0">D9</f>
        <v>0.8</v>
      </c>
      <c r="F9" s="641">
        <f t="shared" si="0"/>
        <v>0.8</v>
      </c>
      <c r="G9" s="641">
        <f t="shared" si="0"/>
        <v>0.8</v>
      </c>
      <c r="H9" s="641">
        <f t="shared" si="0"/>
        <v>0.8</v>
      </c>
      <c r="I9" s="641">
        <f t="shared" si="0"/>
        <v>0.8</v>
      </c>
      <c r="J9" s="641">
        <f t="shared" si="0"/>
        <v>0.8</v>
      </c>
      <c r="K9" s="641">
        <f t="shared" si="0"/>
        <v>0.8</v>
      </c>
      <c r="L9" s="641">
        <f t="shared" si="0"/>
        <v>0.8</v>
      </c>
      <c r="M9" s="641">
        <f t="shared" si="0"/>
        <v>0.8</v>
      </c>
      <c r="N9" s="641">
        <f t="shared" si="0"/>
        <v>0.8</v>
      </c>
    </row>
    <row r="10" spans="1:14" x14ac:dyDescent="0.2">
      <c r="A10" s="244" t="s">
        <v>463</v>
      </c>
      <c r="B10" s="245" t="s">
        <v>41</v>
      </c>
      <c r="C10" s="309">
        <v>0.9</v>
      </c>
      <c r="D10" s="641">
        <f t="shared" ref="D10:N10" si="1">C10</f>
        <v>0.9</v>
      </c>
      <c r="E10" s="641">
        <f t="shared" si="1"/>
        <v>0.9</v>
      </c>
      <c r="F10" s="641">
        <f t="shared" si="1"/>
        <v>0.9</v>
      </c>
      <c r="G10" s="641">
        <f t="shared" si="1"/>
        <v>0.9</v>
      </c>
      <c r="H10" s="641">
        <f t="shared" si="1"/>
        <v>0.9</v>
      </c>
      <c r="I10" s="641">
        <f t="shared" si="1"/>
        <v>0.9</v>
      </c>
      <c r="J10" s="641">
        <f t="shared" si="1"/>
        <v>0.9</v>
      </c>
      <c r="K10" s="641">
        <f t="shared" si="1"/>
        <v>0.9</v>
      </c>
      <c r="L10" s="641">
        <f t="shared" si="1"/>
        <v>0.9</v>
      </c>
      <c r="M10" s="641">
        <f t="shared" si="1"/>
        <v>0.9</v>
      </c>
      <c r="N10" s="641">
        <f t="shared" si="1"/>
        <v>0.9</v>
      </c>
    </row>
    <row r="11" spans="1:14" x14ac:dyDescent="0.2">
      <c r="A11" s="244" t="s">
        <v>465</v>
      </c>
      <c r="B11" s="245" t="s">
        <v>40</v>
      </c>
      <c r="C11" s="642">
        <f>C8/C9/C10</f>
        <v>0</v>
      </c>
      <c r="D11" s="642">
        <f t="shared" ref="D11:N11" si="2">D8/D9/D10</f>
        <v>0</v>
      </c>
      <c r="E11" s="642">
        <f t="shared" si="2"/>
        <v>0</v>
      </c>
      <c r="F11" s="642">
        <f t="shared" si="2"/>
        <v>0</v>
      </c>
      <c r="G11" s="642">
        <f t="shared" si="2"/>
        <v>0</v>
      </c>
      <c r="H11" s="642">
        <f t="shared" si="2"/>
        <v>0</v>
      </c>
      <c r="I11" s="642">
        <f t="shared" si="2"/>
        <v>0</v>
      </c>
      <c r="J11" s="642">
        <f t="shared" si="2"/>
        <v>0</v>
      </c>
      <c r="K11" s="642">
        <f t="shared" si="2"/>
        <v>0</v>
      </c>
      <c r="L11" s="642">
        <f t="shared" si="2"/>
        <v>0</v>
      </c>
      <c r="M11" s="642">
        <f t="shared" si="2"/>
        <v>0</v>
      </c>
      <c r="N11" s="642">
        <f t="shared" si="2"/>
        <v>0</v>
      </c>
    </row>
    <row r="12" spans="1:14" x14ac:dyDescent="0.2">
      <c r="A12" s="244" t="s">
        <v>466</v>
      </c>
      <c r="B12" s="643">
        <v>0</v>
      </c>
      <c r="C12" s="642">
        <f>B12-C11</f>
        <v>0</v>
      </c>
      <c r="D12" s="642">
        <f>C12+C13-D11</f>
        <v>0</v>
      </c>
      <c r="E12" s="642">
        <f t="shared" ref="E12:N12" si="3">D12+D13-E11</f>
        <v>0</v>
      </c>
      <c r="F12" s="642">
        <f t="shared" si="3"/>
        <v>0</v>
      </c>
      <c r="G12" s="642">
        <f t="shared" si="3"/>
        <v>0</v>
      </c>
      <c r="H12" s="642">
        <f t="shared" si="3"/>
        <v>0</v>
      </c>
      <c r="I12" s="642">
        <f t="shared" si="3"/>
        <v>0</v>
      </c>
      <c r="J12" s="642">
        <f t="shared" si="3"/>
        <v>0</v>
      </c>
      <c r="K12" s="642">
        <f t="shared" si="3"/>
        <v>0</v>
      </c>
      <c r="L12" s="642">
        <f t="shared" si="3"/>
        <v>0</v>
      </c>
      <c r="M12" s="642">
        <f t="shared" si="3"/>
        <v>0</v>
      </c>
      <c r="N12" s="642">
        <f t="shared" si="3"/>
        <v>0</v>
      </c>
    </row>
    <row r="13" spans="1:14" x14ac:dyDescent="0.2">
      <c r="A13" s="244" t="s">
        <v>467</v>
      </c>
      <c r="B13" s="245" t="s">
        <v>40</v>
      </c>
      <c r="C13" s="289">
        <f>IF(C12&lt;0,-C12,0)</f>
        <v>0</v>
      </c>
      <c r="D13" s="289">
        <f>IF(D12&lt;0,-D12,0)</f>
        <v>0</v>
      </c>
      <c r="E13" s="289">
        <f t="shared" ref="E13:N13" si="4">IF(E12&lt;0,-E12,0)</f>
        <v>0</v>
      </c>
      <c r="F13" s="289">
        <f t="shared" si="4"/>
        <v>0</v>
      </c>
      <c r="G13" s="289">
        <f t="shared" si="4"/>
        <v>0</v>
      </c>
      <c r="H13" s="289">
        <f t="shared" si="4"/>
        <v>0</v>
      </c>
      <c r="I13" s="289">
        <f t="shared" si="4"/>
        <v>0</v>
      </c>
      <c r="J13" s="289">
        <f t="shared" si="4"/>
        <v>0</v>
      </c>
      <c r="K13" s="289">
        <f t="shared" si="4"/>
        <v>0</v>
      </c>
      <c r="L13" s="289">
        <f t="shared" si="4"/>
        <v>0</v>
      </c>
      <c r="M13" s="289">
        <f t="shared" si="4"/>
        <v>0</v>
      </c>
      <c r="N13" s="289">
        <f t="shared" si="4"/>
        <v>0</v>
      </c>
    </row>
    <row r="14" spans="1:14" x14ac:dyDescent="0.2">
      <c r="A14" s="244" t="s">
        <v>315</v>
      </c>
      <c r="B14" s="245" t="s">
        <v>411</v>
      </c>
      <c r="C14" s="649">
        <v>3.5</v>
      </c>
      <c r="D14" s="649">
        <f>C14</f>
        <v>3.5</v>
      </c>
      <c r="E14" s="649">
        <f t="shared" ref="E14:N14" si="5">D14</f>
        <v>3.5</v>
      </c>
      <c r="F14" s="649">
        <f t="shared" si="5"/>
        <v>3.5</v>
      </c>
      <c r="G14" s="649">
        <f t="shared" si="5"/>
        <v>3.5</v>
      </c>
      <c r="H14" s="649">
        <f t="shared" si="5"/>
        <v>3.5</v>
      </c>
      <c r="I14" s="649">
        <f t="shared" si="5"/>
        <v>3.5</v>
      </c>
      <c r="J14" s="649">
        <f t="shared" si="5"/>
        <v>3.5</v>
      </c>
      <c r="K14" s="649">
        <f t="shared" si="5"/>
        <v>3.5</v>
      </c>
      <c r="L14" s="649">
        <f t="shared" si="5"/>
        <v>3.5</v>
      </c>
      <c r="M14" s="649">
        <f t="shared" si="5"/>
        <v>3.5</v>
      </c>
      <c r="N14" s="649">
        <f t="shared" si="5"/>
        <v>3.5</v>
      </c>
    </row>
    <row r="15" spans="1:14" ht="13.5" thickBot="1" x14ac:dyDescent="0.25">
      <c r="A15" s="248" t="s">
        <v>411</v>
      </c>
      <c r="B15" s="248"/>
      <c r="C15" s="248">
        <f>C13*C14</f>
        <v>0</v>
      </c>
      <c r="D15" s="248">
        <f t="shared" ref="D15:N15" si="6">D11*D14</f>
        <v>0</v>
      </c>
      <c r="E15" s="248">
        <f t="shared" si="6"/>
        <v>0</v>
      </c>
      <c r="F15" s="248">
        <f t="shared" si="6"/>
        <v>0</v>
      </c>
      <c r="G15" s="248">
        <f t="shared" si="6"/>
        <v>0</v>
      </c>
      <c r="H15" s="248">
        <f t="shared" si="6"/>
        <v>0</v>
      </c>
      <c r="I15" s="248">
        <f t="shared" si="6"/>
        <v>0</v>
      </c>
      <c r="J15" s="248">
        <f t="shared" si="6"/>
        <v>0</v>
      </c>
      <c r="K15" s="248">
        <f t="shared" si="6"/>
        <v>0</v>
      </c>
      <c r="L15" s="248">
        <f t="shared" si="6"/>
        <v>0</v>
      </c>
      <c r="M15" s="248">
        <f t="shared" si="6"/>
        <v>0</v>
      </c>
      <c r="N15" s="248">
        <f t="shared" si="6"/>
        <v>0</v>
      </c>
    </row>
    <row r="17" spans="1:31" ht="13.5" customHeight="1" thickBot="1" x14ac:dyDescent="0.3">
      <c r="A17" s="551" t="s">
        <v>458</v>
      </c>
    </row>
    <row r="18" spans="1:31" ht="13.5" customHeight="1" x14ac:dyDescent="0.2">
      <c r="A18" s="19" t="s">
        <v>315</v>
      </c>
      <c r="B18" s="550"/>
      <c r="C18" s="19" t="str">
        <f>C7</f>
        <v>Mar</v>
      </c>
      <c r="D18" s="19" t="str">
        <f t="shared" ref="D18:N18" si="7">D7</f>
        <v>Apr</v>
      </c>
      <c r="E18" s="19" t="str">
        <f t="shared" si="7"/>
        <v>May</v>
      </c>
      <c r="F18" s="19" t="str">
        <f t="shared" si="7"/>
        <v>Jun</v>
      </c>
      <c r="G18" s="19" t="str">
        <f t="shared" si="7"/>
        <v>Jul</v>
      </c>
      <c r="H18" s="19" t="str">
        <f t="shared" si="7"/>
        <v>Aug</v>
      </c>
      <c r="I18" s="19" t="str">
        <f t="shared" si="7"/>
        <v>Sep</v>
      </c>
      <c r="J18" s="19" t="str">
        <f t="shared" si="7"/>
        <v>Oct</v>
      </c>
      <c r="K18" s="19" t="str">
        <f t="shared" si="7"/>
        <v>Nov</v>
      </c>
      <c r="L18" s="19" t="str">
        <f t="shared" si="7"/>
        <v>Dec</v>
      </c>
      <c r="M18" s="19" t="str">
        <f t="shared" si="7"/>
        <v>Jan</v>
      </c>
      <c r="N18" s="19" t="str">
        <f t="shared" si="7"/>
        <v>Feb</v>
      </c>
    </row>
    <row r="19" spans="1:31" ht="13.5" customHeight="1" x14ac:dyDescent="0.2">
      <c r="A19" s="242" t="s">
        <v>464</v>
      </c>
      <c r="B19" s="243" t="s">
        <v>40</v>
      </c>
      <c r="C19" s="640">
        <f>'P2 Feeding'!D9</f>
        <v>0</v>
      </c>
      <c r="D19" s="640">
        <f>'P2 Feeding'!E9</f>
        <v>0</v>
      </c>
      <c r="E19" s="640">
        <f>'P2 Feeding'!F9</f>
        <v>0</v>
      </c>
      <c r="F19" s="640">
        <f>'P2 Feeding'!G9</f>
        <v>0</v>
      </c>
      <c r="G19" s="640">
        <f>'P2 Feeding'!H9</f>
        <v>0</v>
      </c>
      <c r="H19" s="640">
        <f>'P2 Feeding'!I9</f>
        <v>0</v>
      </c>
      <c r="I19" s="640">
        <f>'P2 Feeding'!J9</f>
        <v>0</v>
      </c>
      <c r="J19" s="640">
        <f>'P2 Feeding'!K9</f>
        <v>0</v>
      </c>
      <c r="K19" s="640">
        <f>'P2 Feeding'!L9</f>
        <v>0</v>
      </c>
      <c r="L19" s="640">
        <f>'P2 Feeding'!M9</f>
        <v>0</v>
      </c>
      <c r="M19" s="640">
        <f>'P2 Feeding'!N9</f>
        <v>0</v>
      </c>
      <c r="N19" s="640">
        <f>'P2 Feeding'!O9</f>
        <v>0</v>
      </c>
    </row>
    <row r="20" spans="1:31" ht="13.5" customHeight="1" x14ac:dyDescent="0.2">
      <c r="A20" s="244" t="s">
        <v>461</v>
      </c>
      <c r="B20" s="245" t="s">
        <v>462</v>
      </c>
      <c r="C20" s="309">
        <v>0.95</v>
      </c>
      <c r="D20" s="641">
        <f>C20</f>
        <v>0.95</v>
      </c>
      <c r="E20" s="641">
        <f t="shared" ref="E20:N20" si="8">D20</f>
        <v>0.95</v>
      </c>
      <c r="F20" s="641">
        <f t="shared" si="8"/>
        <v>0.95</v>
      </c>
      <c r="G20" s="641">
        <f t="shared" si="8"/>
        <v>0.95</v>
      </c>
      <c r="H20" s="641">
        <f t="shared" si="8"/>
        <v>0.95</v>
      </c>
      <c r="I20" s="641">
        <f t="shared" si="8"/>
        <v>0.95</v>
      </c>
      <c r="J20" s="641">
        <f t="shared" si="8"/>
        <v>0.95</v>
      </c>
      <c r="K20" s="641">
        <f t="shared" si="8"/>
        <v>0.95</v>
      </c>
      <c r="L20" s="641">
        <f t="shared" si="8"/>
        <v>0.95</v>
      </c>
      <c r="M20" s="641">
        <f t="shared" si="8"/>
        <v>0.95</v>
      </c>
      <c r="N20" s="641">
        <f t="shared" si="8"/>
        <v>0.95</v>
      </c>
    </row>
    <row r="21" spans="1:31" ht="13.5" customHeight="1" x14ac:dyDescent="0.2">
      <c r="A21" s="244" t="s">
        <v>463</v>
      </c>
      <c r="B21" s="245" t="s">
        <v>41</v>
      </c>
      <c r="C21" s="309">
        <v>0.9</v>
      </c>
      <c r="D21" s="641">
        <f t="shared" ref="D21:N21" si="9">C21</f>
        <v>0.9</v>
      </c>
      <c r="E21" s="641">
        <f t="shared" si="9"/>
        <v>0.9</v>
      </c>
      <c r="F21" s="641">
        <f t="shared" si="9"/>
        <v>0.9</v>
      </c>
      <c r="G21" s="641">
        <f t="shared" si="9"/>
        <v>0.9</v>
      </c>
      <c r="H21" s="641">
        <f t="shared" si="9"/>
        <v>0.9</v>
      </c>
      <c r="I21" s="641">
        <f t="shared" si="9"/>
        <v>0.9</v>
      </c>
      <c r="J21" s="641">
        <f t="shared" si="9"/>
        <v>0.9</v>
      </c>
      <c r="K21" s="641">
        <f t="shared" si="9"/>
        <v>0.9</v>
      </c>
      <c r="L21" s="641">
        <f t="shared" si="9"/>
        <v>0.9</v>
      </c>
      <c r="M21" s="641">
        <f t="shared" si="9"/>
        <v>0.9</v>
      </c>
      <c r="N21" s="641">
        <f t="shared" si="9"/>
        <v>0.9</v>
      </c>
    </row>
    <row r="22" spans="1:31" x14ac:dyDescent="0.2">
      <c r="A22" s="244" t="s">
        <v>465</v>
      </c>
      <c r="B22" s="245" t="s">
        <v>40</v>
      </c>
      <c r="C22" s="642">
        <f>C19/C20/C21</f>
        <v>0</v>
      </c>
      <c r="D22" s="642">
        <f t="shared" ref="D22:N22" si="10">D19/D20/D21</f>
        <v>0</v>
      </c>
      <c r="E22" s="642">
        <f t="shared" si="10"/>
        <v>0</v>
      </c>
      <c r="F22" s="642">
        <f t="shared" si="10"/>
        <v>0</v>
      </c>
      <c r="G22" s="642">
        <f t="shared" si="10"/>
        <v>0</v>
      </c>
      <c r="H22" s="642">
        <f t="shared" si="10"/>
        <v>0</v>
      </c>
      <c r="I22" s="642">
        <f t="shared" si="10"/>
        <v>0</v>
      </c>
      <c r="J22" s="642">
        <f t="shared" si="10"/>
        <v>0</v>
      </c>
      <c r="K22" s="642">
        <f t="shared" si="10"/>
        <v>0</v>
      </c>
      <c r="L22" s="642">
        <f t="shared" si="10"/>
        <v>0</v>
      </c>
      <c r="M22" s="642">
        <f t="shared" si="10"/>
        <v>0</v>
      </c>
      <c r="N22" s="642">
        <f t="shared" si="10"/>
        <v>0</v>
      </c>
    </row>
    <row r="23" spans="1:31" x14ac:dyDescent="0.2">
      <c r="A23" s="244" t="s">
        <v>466</v>
      </c>
      <c r="B23" s="643">
        <v>0</v>
      </c>
      <c r="C23" s="642">
        <f>B23-C22</f>
        <v>0</v>
      </c>
      <c r="D23" s="642">
        <f>C23+C24-D22</f>
        <v>0</v>
      </c>
      <c r="E23" s="642">
        <f t="shared" ref="E23:N23" si="11">D23+D24-E22</f>
        <v>0</v>
      </c>
      <c r="F23" s="642">
        <f t="shared" si="11"/>
        <v>0</v>
      </c>
      <c r="G23" s="642">
        <f t="shared" si="11"/>
        <v>0</v>
      </c>
      <c r="H23" s="642">
        <f t="shared" si="11"/>
        <v>0</v>
      </c>
      <c r="I23" s="642">
        <f t="shared" si="11"/>
        <v>0</v>
      </c>
      <c r="J23" s="642">
        <f t="shared" si="11"/>
        <v>0</v>
      </c>
      <c r="K23" s="642">
        <f t="shared" si="11"/>
        <v>0</v>
      </c>
      <c r="L23" s="642">
        <f t="shared" si="11"/>
        <v>0</v>
      </c>
      <c r="M23" s="642">
        <f t="shared" si="11"/>
        <v>0</v>
      </c>
      <c r="N23" s="642">
        <f t="shared" si="11"/>
        <v>0</v>
      </c>
    </row>
    <row r="24" spans="1:31" x14ac:dyDescent="0.2">
      <c r="A24" s="244" t="s">
        <v>467</v>
      </c>
      <c r="B24" s="245" t="s">
        <v>40</v>
      </c>
      <c r="C24" s="289">
        <f>IF(C23&lt;0,-C23,0)</f>
        <v>0</v>
      </c>
      <c r="D24" s="289">
        <f>IF(D23&lt;0,-D23,0)</f>
        <v>0</v>
      </c>
      <c r="E24" s="289">
        <f t="shared" ref="E24:N24" si="12">IF(E23&lt;0,-E23,0)</f>
        <v>0</v>
      </c>
      <c r="F24" s="289">
        <f t="shared" si="12"/>
        <v>0</v>
      </c>
      <c r="G24" s="289">
        <f t="shared" si="12"/>
        <v>0</v>
      </c>
      <c r="H24" s="289">
        <f t="shared" si="12"/>
        <v>0</v>
      </c>
      <c r="I24" s="289">
        <f t="shared" si="12"/>
        <v>0</v>
      </c>
      <c r="J24" s="289">
        <f t="shared" si="12"/>
        <v>0</v>
      </c>
      <c r="K24" s="289">
        <f t="shared" si="12"/>
        <v>0</v>
      </c>
      <c r="L24" s="289">
        <f t="shared" si="12"/>
        <v>0</v>
      </c>
      <c r="M24" s="289">
        <f t="shared" si="12"/>
        <v>0</v>
      </c>
      <c r="N24" s="289">
        <f t="shared" si="12"/>
        <v>0</v>
      </c>
    </row>
    <row r="25" spans="1:31" x14ac:dyDescent="0.2">
      <c r="A25" s="244" t="s">
        <v>315</v>
      </c>
      <c r="B25" s="245" t="s">
        <v>411</v>
      </c>
      <c r="C25" s="639">
        <v>4</v>
      </c>
      <c r="D25" s="639">
        <f>C25</f>
        <v>4</v>
      </c>
      <c r="E25" s="639">
        <f t="shared" ref="E25:N25" si="13">D25</f>
        <v>4</v>
      </c>
      <c r="F25" s="639">
        <f t="shared" si="13"/>
        <v>4</v>
      </c>
      <c r="G25" s="639">
        <f t="shared" si="13"/>
        <v>4</v>
      </c>
      <c r="H25" s="639">
        <f t="shared" si="13"/>
        <v>4</v>
      </c>
      <c r="I25" s="639">
        <f t="shared" si="13"/>
        <v>4</v>
      </c>
      <c r="J25" s="639">
        <f t="shared" si="13"/>
        <v>4</v>
      </c>
      <c r="K25" s="639">
        <f t="shared" si="13"/>
        <v>4</v>
      </c>
      <c r="L25" s="639">
        <f t="shared" si="13"/>
        <v>4</v>
      </c>
      <c r="M25" s="639">
        <f t="shared" si="13"/>
        <v>4</v>
      </c>
      <c r="N25" s="639">
        <f t="shared" si="13"/>
        <v>4</v>
      </c>
    </row>
    <row r="26" spans="1:31" ht="13.5" thickBot="1" x14ac:dyDescent="0.25">
      <c r="A26" s="248" t="s">
        <v>411</v>
      </c>
      <c r="B26" s="248"/>
      <c r="C26" s="248">
        <f>C24*C25</f>
        <v>0</v>
      </c>
      <c r="D26" s="248">
        <f t="shared" ref="D26:N26" si="14">D22*D25</f>
        <v>0</v>
      </c>
      <c r="E26" s="248">
        <f t="shared" si="14"/>
        <v>0</v>
      </c>
      <c r="F26" s="248">
        <f t="shared" si="14"/>
        <v>0</v>
      </c>
      <c r="G26" s="248">
        <f t="shared" si="14"/>
        <v>0</v>
      </c>
      <c r="H26" s="248">
        <f t="shared" si="14"/>
        <v>0</v>
      </c>
      <c r="I26" s="248">
        <f t="shared" si="14"/>
        <v>0</v>
      </c>
      <c r="J26" s="248">
        <f t="shared" si="14"/>
        <v>0</v>
      </c>
      <c r="K26" s="248">
        <f t="shared" si="14"/>
        <v>0</v>
      </c>
      <c r="L26" s="248">
        <f t="shared" si="14"/>
        <v>0</v>
      </c>
      <c r="M26" s="248">
        <f t="shared" si="14"/>
        <v>0</v>
      </c>
      <c r="N26" s="248">
        <f t="shared" si="14"/>
        <v>0</v>
      </c>
    </row>
    <row r="27" spans="1:31" x14ac:dyDescent="0.2">
      <c r="A27" s="22"/>
      <c r="B27" s="3"/>
      <c r="C27" s="3"/>
      <c r="D27" s="3"/>
      <c r="E27" s="3"/>
      <c r="F27" s="3"/>
      <c r="G27" s="3"/>
      <c r="H27" s="3"/>
      <c r="I27" s="3"/>
      <c r="J27" s="3"/>
      <c r="K27" s="3"/>
      <c r="L27" s="3"/>
      <c r="M27" s="3"/>
      <c r="N27" s="3"/>
    </row>
    <row r="28" spans="1:31" ht="16.5" thickBot="1" x14ac:dyDescent="0.3">
      <c r="A28" s="551" t="s">
        <v>459</v>
      </c>
      <c r="B28" s="2">
        <v>0</v>
      </c>
      <c r="C28" s="370"/>
    </row>
    <row r="29" spans="1:31" x14ac:dyDescent="0.2">
      <c r="A29" s="19" t="s">
        <v>315</v>
      </c>
      <c r="B29" s="550"/>
      <c r="C29" s="19" t="str">
        <f>C18</f>
        <v>Mar</v>
      </c>
      <c r="D29" s="19" t="str">
        <f t="shared" ref="D29:N29" si="15">D18</f>
        <v>Apr</v>
      </c>
      <c r="E29" s="19" t="str">
        <f t="shared" si="15"/>
        <v>May</v>
      </c>
      <c r="F29" s="19" t="str">
        <f t="shared" si="15"/>
        <v>Jun</v>
      </c>
      <c r="G29" s="19" t="str">
        <f t="shared" si="15"/>
        <v>Jul</v>
      </c>
      <c r="H29" s="19" t="str">
        <f t="shared" si="15"/>
        <v>Aug</v>
      </c>
      <c r="I29" s="19" t="str">
        <f t="shared" si="15"/>
        <v>Sep</v>
      </c>
      <c r="J29" s="19"/>
      <c r="K29" s="19" t="str">
        <f t="shared" si="15"/>
        <v>Nov</v>
      </c>
      <c r="L29" s="19" t="str">
        <f t="shared" si="15"/>
        <v>Dec</v>
      </c>
      <c r="M29" s="19" t="str">
        <f t="shared" si="15"/>
        <v>Jan</v>
      </c>
      <c r="N29" s="19" t="str">
        <f t="shared" si="15"/>
        <v>Feb</v>
      </c>
    </row>
    <row r="30" spans="1:31" x14ac:dyDescent="0.2">
      <c r="A30" s="242" t="s">
        <v>464</v>
      </c>
      <c r="B30" s="243">
        <v>0</v>
      </c>
      <c r="C30" s="640">
        <f>'P2 Feeding'!D10</f>
        <v>0</v>
      </c>
      <c r="D30" s="640">
        <f>'P2 Feeding'!E10</f>
        <v>0</v>
      </c>
      <c r="E30" s="640">
        <f>'P2 Feeding'!F10</f>
        <v>0</v>
      </c>
      <c r="F30" s="640">
        <f>'P2 Feeding'!G10</f>
        <v>0</v>
      </c>
      <c r="G30" s="640">
        <f>'P2 Feeding'!H10</f>
        <v>0</v>
      </c>
      <c r="H30" s="640">
        <f>'P2 Feeding'!I10</f>
        <v>0</v>
      </c>
      <c r="I30" s="640">
        <f>'P2 Feeding'!J10</f>
        <v>0</v>
      </c>
      <c r="J30" s="640">
        <f>'P2 Feeding'!K10</f>
        <v>0</v>
      </c>
      <c r="K30" s="640">
        <f>'P2 Feeding'!L10</f>
        <v>0</v>
      </c>
      <c r="L30" s="640">
        <f>'P2 Feeding'!M10</f>
        <v>0</v>
      </c>
      <c r="M30" s="640">
        <f>'P2 Feeding'!N10</f>
        <v>0</v>
      </c>
      <c r="N30" s="640">
        <f>'P2 Feeding'!O10</f>
        <v>0</v>
      </c>
      <c r="R30" s="24"/>
      <c r="S30" s="24"/>
      <c r="T30" s="21"/>
      <c r="U30" s="21"/>
      <c r="V30" s="21"/>
      <c r="W30" s="21"/>
      <c r="X30" s="21"/>
      <c r="Y30" s="21"/>
      <c r="Z30" s="21"/>
      <c r="AA30" s="21"/>
      <c r="AB30" s="21"/>
      <c r="AC30" s="21"/>
      <c r="AD30" s="21"/>
      <c r="AE30" s="21"/>
    </row>
    <row r="31" spans="1:31" x14ac:dyDescent="0.2">
      <c r="A31" s="244" t="s">
        <v>461</v>
      </c>
      <c r="B31" s="245" t="s">
        <v>462</v>
      </c>
      <c r="C31" s="309">
        <v>0.75</v>
      </c>
      <c r="D31" s="641">
        <f>C31</f>
        <v>0.75</v>
      </c>
      <c r="E31" s="641">
        <f t="shared" ref="E31:I31" si="16">D31</f>
        <v>0.75</v>
      </c>
      <c r="F31" s="641">
        <f t="shared" si="16"/>
        <v>0.75</v>
      </c>
      <c r="G31" s="641">
        <f t="shared" si="16"/>
        <v>0.75</v>
      </c>
      <c r="H31" s="641">
        <f t="shared" si="16"/>
        <v>0.75</v>
      </c>
      <c r="I31" s="641">
        <f t="shared" si="16"/>
        <v>0.75</v>
      </c>
      <c r="J31" s="641">
        <f t="shared" ref="J31:J32" si="17">I31</f>
        <v>0.75</v>
      </c>
      <c r="K31" s="641">
        <f t="shared" ref="K31:K32" si="18">J31</f>
        <v>0.75</v>
      </c>
      <c r="L31" s="641">
        <f t="shared" ref="L31:L32" si="19">K31</f>
        <v>0.75</v>
      </c>
      <c r="M31" s="641">
        <f t="shared" ref="M31:M32" si="20">L31</f>
        <v>0.75</v>
      </c>
      <c r="N31" s="641">
        <f t="shared" ref="N31:N32" si="21">M31</f>
        <v>0.75</v>
      </c>
      <c r="R31" s="24"/>
      <c r="S31" s="24"/>
      <c r="T31" s="21"/>
      <c r="U31" s="21"/>
      <c r="V31" s="21"/>
      <c r="W31" s="21"/>
      <c r="X31" s="21"/>
      <c r="Y31" s="21"/>
      <c r="Z31" s="21"/>
      <c r="AA31" s="21"/>
      <c r="AB31" s="21"/>
      <c r="AC31" s="21"/>
      <c r="AD31" s="21"/>
      <c r="AE31" s="21"/>
    </row>
    <row r="32" spans="1:31" x14ac:dyDescent="0.2">
      <c r="A32" s="244" t="s">
        <v>463</v>
      </c>
      <c r="B32" s="245"/>
      <c r="C32" s="309">
        <v>0.95</v>
      </c>
      <c r="D32" s="641">
        <f t="shared" ref="D32:H32" si="22">C32</f>
        <v>0.95</v>
      </c>
      <c r="E32" s="641">
        <f t="shared" si="22"/>
        <v>0.95</v>
      </c>
      <c r="F32" s="641">
        <f t="shared" si="22"/>
        <v>0.95</v>
      </c>
      <c r="G32" s="641">
        <f t="shared" si="22"/>
        <v>0.95</v>
      </c>
      <c r="H32" s="641">
        <f t="shared" si="22"/>
        <v>0.95</v>
      </c>
      <c r="I32" s="641">
        <f t="shared" ref="I32" si="23">H32</f>
        <v>0.95</v>
      </c>
      <c r="J32" s="641">
        <f t="shared" si="17"/>
        <v>0.95</v>
      </c>
      <c r="K32" s="641">
        <f t="shared" si="18"/>
        <v>0.95</v>
      </c>
      <c r="L32" s="641">
        <f t="shared" si="19"/>
        <v>0.95</v>
      </c>
      <c r="M32" s="641">
        <f t="shared" si="20"/>
        <v>0.95</v>
      </c>
      <c r="N32" s="641">
        <f t="shared" si="21"/>
        <v>0.95</v>
      </c>
      <c r="R32" s="24"/>
      <c r="S32" s="24"/>
      <c r="T32" s="21"/>
      <c r="U32" s="21"/>
      <c r="V32" s="21"/>
      <c r="W32" s="21"/>
      <c r="X32" s="21"/>
      <c r="Y32" s="21"/>
      <c r="Z32" s="21"/>
      <c r="AA32" s="21"/>
      <c r="AB32" s="21"/>
      <c r="AC32" s="21"/>
      <c r="AD32" s="21"/>
      <c r="AE32" s="21"/>
    </row>
    <row r="33" spans="1:31" x14ac:dyDescent="0.2">
      <c r="A33" s="244" t="s">
        <v>465</v>
      </c>
      <c r="B33" s="245" t="s">
        <v>40</v>
      </c>
      <c r="C33" s="642">
        <f>C30/C31/C32</f>
        <v>0</v>
      </c>
      <c r="D33" s="642">
        <f t="shared" ref="D33:N33" si="24">D30/D31/D32</f>
        <v>0</v>
      </c>
      <c r="E33" s="642">
        <f t="shared" si="24"/>
        <v>0</v>
      </c>
      <c r="F33" s="642">
        <f t="shared" si="24"/>
        <v>0</v>
      </c>
      <c r="G33" s="642">
        <f t="shared" si="24"/>
        <v>0</v>
      </c>
      <c r="H33" s="642">
        <f t="shared" si="24"/>
        <v>0</v>
      </c>
      <c r="I33" s="642">
        <f t="shared" si="24"/>
        <v>0</v>
      </c>
      <c r="J33" s="642">
        <f t="shared" si="24"/>
        <v>0</v>
      </c>
      <c r="K33" s="642">
        <f t="shared" si="24"/>
        <v>0</v>
      </c>
      <c r="L33" s="642">
        <f t="shared" si="24"/>
        <v>0</v>
      </c>
      <c r="M33" s="642">
        <f t="shared" si="24"/>
        <v>0</v>
      </c>
      <c r="N33" s="642">
        <f t="shared" si="24"/>
        <v>0</v>
      </c>
      <c r="R33" s="24"/>
      <c r="S33" s="24"/>
      <c r="T33" s="21"/>
      <c r="U33" s="21"/>
      <c r="V33" s="21"/>
      <c r="W33" s="21"/>
      <c r="X33" s="21"/>
      <c r="Y33" s="21"/>
      <c r="Z33" s="21"/>
      <c r="AA33" s="21"/>
      <c r="AB33" s="21"/>
      <c r="AC33" s="21"/>
      <c r="AD33" s="21"/>
      <c r="AE33" s="21"/>
    </row>
    <row r="34" spans="1:31" x14ac:dyDescent="0.2">
      <c r="A34" s="244" t="s">
        <v>466</v>
      </c>
      <c r="B34" s="643">
        <v>0</v>
      </c>
      <c r="C34" s="642">
        <f>B34-C33</f>
        <v>0</v>
      </c>
      <c r="D34" s="642">
        <f>C34+C35-D33</f>
        <v>0</v>
      </c>
      <c r="E34" s="642">
        <f t="shared" ref="E34:N34" si="25">D34+D35-E33</f>
        <v>0</v>
      </c>
      <c r="F34" s="642">
        <f t="shared" si="25"/>
        <v>0</v>
      </c>
      <c r="G34" s="642">
        <f t="shared" si="25"/>
        <v>0</v>
      </c>
      <c r="H34" s="642">
        <f t="shared" si="25"/>
        <v>0</v>
      </c>
      <c r="I34" s="642">
        <f t="shared" si="25"/>
        <v>0</v>
      </c>
      <c r="J34" s="642">
        <f t="shared" si="25"/>
        <v>0</v>
      </c>
      <c r="K34" s="642">
        <f t="shared" si="25"/>
        <v>0</v>
      </c>
      <c r="L34" s="642">
        <f t="shared" si="25"/>
        <v>0</v>
      </c>
      <c r="M34" s="642">
        <f t="shared" si="25"/>
        <v>0</v>
      </c>
      <c r="N34" s="642">
        <f t="shared" si="25"/>
        <v>0</v>
      </c>
      <c r="R34" s="24"/>
      <c r="S34" s="24"/>
      <c r="T34" s="21"/>
      <c r="U34" s="21"/>
      <c r="V34" s="21"/>
      <c r="W34" s="21"/>
      <c r="X34" s="21"/>
      <c r="Y34" s="21"/>
      <c r="Z34" s="21"/>
      <c r="AA34" s="21"/>
      <c r="AB34" s="21"/>
      <c r="AC34" s="21"/>
      <c r="AD34" s="21"/>
      <c r="AE34" s="21"/>
    </row>
    <row r="35" spans="1:31" x14ac:dyDescent="0.2">
      <c r="A35" s="244" t="s">
        <v>467</v>
      </c>
      <c r="B35" s="245" t="s">
        <v>40</v>
      </c>
      <c r="C35" s="289">
        <f>IF(C34&lt;0,-C34,0)</f>
        <v>0</v>
      </c>
      <c r="D35" s="289">
        <f>IF(D34&lt;0,-D34,0)</f>
        <v>0</v>
      </c>
      <c r="E35" s="289">
        <f t="shared" ref="E35:N35" si="26">IF(E34&lt;0,-E34,0)</f>
        <v>0</v>
      </c>
      <c r="F35" s="289">
        <f t="shared" si="26"/>
        <v>0</v>
      </c>
      <c r="G35" s="289">
        <f t="shared" si="26"/>
        <v>0</v>
      </c>
      <c r="H35" s="289">
        <f t="shared" si="26"/>
        <v>0</v>
      </c>
      <c r="I35" s="289">
        <f t="shared" si="26"/>
        <v>0</v>
      </c>
      <c r="J35" s="289">
        <f t="shared" si="26"/>
        <v>0</v>
      </c>
      <c r="K35" s="289">
        <f t="shared" si="26"/>
        <v>0</v>
      </c>
      <c r="L35" s="289">
        <f t="shared" si="26"/>
        <v>0</v>
      </c>
      <c r="M35" s="289">
        <f t="shared" si="26"/>
        <v>0</v>
      </c>
      <c r="N35" s="289">
        <f t="shared" si="26"/>
        <v>0</v>
      </c>
      <c r="R35" s="24"/>
      <c r="S35" s="24"/>
      <c r="T35" s="21"/>
      <c r="U35" s="21"/>
      <c r="V35" s="21"/>
      <c r="W35" s="21"/>
      <c r="X35" s="21"/>
      <c r="Y35" s="21"/>
      <c r="Z35" s="21"/>
      <c r="AA35" s="21"/>
      <c r="AB35" s="21"/>
      <c r="AC35" s="21"/>
      <c r="AD35" s="21"/>
      <c r="AE35" s="21"/>
    </row>
    <row r="36" spans="1:31" x14ac:dyDescent="0.2">
      <c r="A36" s="244" t="s">
        <v>315</v>
      </c>
      <c r="B36" s="245" t="s">
        <v>411</v>
      </c>
      <c r="C36" s="639">
        <v>3</v>
      </c>
      <c r="D36" s="639">
        <f>C36</f>
        <v>3</v>
      </c>
      <c r="E36" s="639">
        <f t="shared" ref="E36:N36" si="27">D36</f>
        <v>3</v>
      </c>
      <c r="F36" s="639">
        <f t="shared" si="27"/>
        <v>3</v>
      </c>
      <c r="G36" s="639">
        <f t="shared" si="27"/>
        <v>3</v>
      </c>
      <c r="H36" s="639">
        <f t="shared" si="27"/>
        <v>3</v>
      </c>
      <c r="I36" s="639">
        <f t="shared" si="27"/>
        <v>3</v>
      </c>
      <c r="J36" s="639">
        <f t="shared" si="27"/>
        <v>3</v>
      </c>
      <c r="K36" s="639">
        <f t="shared" si="27"/>
        <v>3</v>
      </c>
      <c r="L36" s="639">
        <f t="shared" si="27"/>
        <v>3</v>
      </c>
      <c r="M36" s="639">
        <f t="shared" si="27"/>
        <v>3</v>
      </c>
      <c r="N36" s="639">
        <f t="shared" si="27"/>
        <v>3</v>
      </c>
      <c r="R36" s="24"/>
      <c r="S36" s="24"/>
      <c r="T36" s="21"/>
      <c r="U36" s="21"/>
      <c r="V36" s="21"/>
      <c r="W36" s="21"/>
      <c r="X36" s="21"/>
      <c r="Y36" s="21"/>
      <c r="Z36" s="21"/>
      <c r="AA36" s="21"/>
      <c r="AB36" s="21"/>
      <c r="AC36" s="21"/>
      <c r="AD36" s="21"/>
      <c r="AE36" s="21"/>
    </row>
    <row r="37" spans="1:31" ht="13.5" thickBot="1" x14ac:dyDescent="0.25">
      <c r="A37" s="248" t="s">
        <v>411</v>
      </c>
      <c r="B37" s="248"/>
      <c r="C37" s="248">
        <f>C35*C36</f>
        <v>0</v>
      </c>
      <c r="D37" s="248">
        <f t="shared" ref="D37:N37" si="28">D33*D36</f>
        <v>0</v>
      </c>
      <c r="E37" s="248">
        <f t="shared" si="28"/>
        <v>0</v>
      </c>
      <c r="F37" s="248">
        <f t="shared" si="28"/>
        <v>0</v>
      </c>
      <c r="G37" s="248">
        <f t="shared" si="28"/>
        <v>0</v>
      </c>
      <c r="H37" s="248">
        <f t="shared" si="28"/>
        <v>0</v>
      </c>
      <c r="I37" s="248">
        <f t="shared" si="28"/>
        <v>0</v>
      </c>
      <c r="J37" s="248">
        <f t="shared" si="28"/>
        <v>0</v>
      </c>
      <c r="K37" s="248">
        <f t="shared" si="28"/>
        <v>0</v>
      </c>
      <c r="L37" s="248">
        <f t="shared" si="28"/>
        <v>0</v>
      </c>
      <c r="M37" s="248">
        <f t="shared" si="28"/>
        <v>0</v>
      </c>
      <c r="N37" s="248">
        <f t="shared" si="28"/>
        <v>0</v>
      </c>
      <c r="R37" s="24"/>
      <c r="S37" s="24"/>
      <c r="T37" s="21"/>
      <c r="U37" s="21"/>
      <c r="V37" s="21"/>
      <c r="W37" s="21"/>
      <c r="X37" s="21"/>
      <c r="Y37" s="21"/>
      <c r="Z37" s="21"/>
      <c r="AA37" s="21"/>
      <c r="AB37" s="21"/>
      <c r="AC37" s="21"/>
      <c r="AD37" s="21"/>
      <c r="AE37" s="21"/>
    </row>
    <row r="38" spans="1:31" x14ac:dyDescent="0.2">
      <c r="A38" s="22"/>
      <c r="B38" s="3"/>
      <c r="C38" s="3"/>
      <c r="D38" s="3"/>
      <c r="E38" s="3"/>
      <c r="F38" s="3"/>
      <c r="G38" s="3"/>
      <c r="H38" s="3"/>
      <c r="I38" s="3"/>
      <c r="J38" s="3"/>
      <c r="K38" s="3"/>
      <c r="L38" s="3"/>
      <c r="M38" s="3"/>
      <c r="N38" s="3"/>
      <c r="R38" s="24"/>
      <c r="S38" s="24"/>
      <c r="T38" s="21"/>
      <c r="U38" s="21"/>
      <c r="V38" s="21"/>
      <c r="W38" s="21"/>
      <c r="X38" s="21"/>
      <c r="Y38" s="21"/>
      <c r="Z38" s="21"/>
      <c r="AA38" s="21"/>
      <c r="AB38" s="21"/>
      <c r="AC38" s="21"/>
      <c r="AD38" s="21"/>
      <c r="AE38" s="21"/>
    </row>
    <row r="39" spans="1:31" ht="16.5" thickBot="1" x14ac:dyDescent="0.3">
      <c r="A39" s="551" t="s">
        <v>460</v>
      </c>
      <c r="C39" s="370"/>
      <c r="R39" s="24"/>
      <c r="S39" s="24"/>
      <c r="T39" s="21"/>
      <c r="U39" s="21"/>
      <c r="V39" s="21"/>
      <c r="W39" s="21"/>
      <c r="X39" s="21"/>
      <c r="Y39" s="21"/>
      <c r="Z39" s="21"/>
      <c r="AA39" s="21"/>
      <c r="AB39" s="21"/>
      <c r="AC39" s="21"/>
      <c r="AD39" s="21"/>
      <c r="AE39" s="21"/>
    </row>
    <row r="40" spans="1:31" x14ac:dyDescent="0.2">
      <c r="A40" s="19" t="s">
        <v>315</v>
      </c>
      <c r="B40" s="550"/>
      <c r="C40" s="19" t="str">
        <f>C29</f>
        <v>Mar</v>
      </c>
      <c r="D40" s="19" t="str">
        <f t="shared" ref="D40:N40" si="29">D29</f>
        <v>Apr</v>
      </c>
      <c r="E40" s="19" t="str">
        <f t="shared" si="29"/>
        <v>May</v>
      </c>
      <c r="F40" s="19" t="str">
        <f t="shared" si="29"/>
        <v>Jun</v>
      </c>
      <c r="G40" s="19" t="str">
        <f t="shared" si="29"/>
        <v>Jul</v>
      </c>
      <c r="H40" s="19" t="str">
        <f t="shared" si="29"/>
        <v>Aug</v>
      </c>
      <c r="I40" s="19" t="str">
        <f t="shared" si="29"/>
        <v>Sep</v>
      </c>
      <c r="J40" s="19">
        <f t="shared" si="29"/>
        <v>0</v>
      </c>
      <c r="K40" s="19" t="str">
        <f t="shared" si="29"/>
        <v>Nov</v>
      </c>
      <c r="L40" s="19" t="str">
        <f t="shared" si="29"/>
        <v>Dec</v>
      </c>
      <c r="M40" s="19" t="str">
        <f t="shared" si="29"/>
        <v>Jan</v>
      </c>
      <c r="N40" s="19" t="str">
        <f t="shared" si="29"/>
        <v>Feb</v>
      </c>
      <c r="R40" s="24"/>
      <c r="S40" s="24"/>
      <c r="T40" s="21"/>
      <c r="U40" s="21"/>
      <c r="V40" s="21"/>
      <c r="W40" s="21"/>
      <c r="X40" s="21"/>
      <c r="Y40" s="21"/>
      <c r="Z40" s="21"/>
      <c r="AA40" s="21"/>
      <c r="AB40" s="21"/>
      <c r="AC40" s="21"/>
      <c r="AD40" s="21"/>
      <c r="AE40" s="21"/>
    </row>
    <row r="41" spans="1:31" x14ac:dyDescent="0.2">
      <c r="A41" s="242" t="s">
        <v>464</v>
      </c>
      <c r="B41" s="243" t="s">
        <v>40</v>
      </c>
      <c r="C41" s="640">
        <f>'P2 Feeding'!D11</f>
        <v>0</v>
      </c>
      <c r="D41" s="640">
        <f>'P2 Feeding'!E11</f>
        <v>0</v>
      </c>
      <c r="E41" s="640">
        <f>'P2 Feeding'!F11</f>
        <v>0</v>
      </c>
      <c r="F41" s="640">
        <f>'P2 Feeding'!G11</f>
        <v>0</v>
      </c>
      <c r="G41" s="640">
        <f>'P2 Feeding'!H11</f>
        <v>0</v>
      </c>
      <c r="H41" s="640">
        <f>'P2 Feeding'!I11</f>
        <v>0</v>
      </c>
      <c r="I41" s="640">
        <f>'P2 Feeding'!J11</f>
        <v>0</v>
      </c>
      <c r="J41" s="640">
        <f>'P2 Feeding'!K11</f>
        <v>0</v>
      </c>
      <c r="K41" s="640">
        <f>'P2 Feeding'!L11</f>
        <v>0</v>
      </c>
      <c r="L41" s="640">
        <f>'P2 Feeding'!M11</f>
        <v>0</v>
      </c>
      <c r="M41" s="640">
        <f>'P2 Feeding'!N11</f>
        <v>0</v>
      </c>
      <c r="N41" s="640">
        <f>'P2 Feeding'!O11</f>
        <v>0</v>
      </c>
      <c r="R41" s="24"/>
      <c r="S41" s="24"/>
      <c r="T41" s="21"/>
      <c r="U41" s="21"/>
      <c r="V41" s="21"/>
      <c r="W41" s="21"/>
      <c r="X41" s="21"/>
      <c r="Y41" s="21"/>
      <c r="Z41" s="21"/>
      <c r="AA41" s="21"/>
      <c r="AB41" s="21"/>
      <c r="AC41" s="21"/>
      <c r="AD41" s="21"/>
      <c r="AE41" s="21"/>
    </row>
    <row r="42" spans="1:31" x14ac:dyDescent="0.2">
      <c r="A42" s="244" t="s">
        <v>461</v>
      </c>
      <c r="B42" s="245" t="s">
        <v>462</v>
      </c>
      <c r="C42" s="309">
        <v>0.75</v>
      </c>
      <c r="D42" s="641">
        <f>C42</f>
        <v>0.75</v>
      </c>
      <c r="E42" s="641">
        <f t="shared" ref="E42:N42" si="30">D42</f>
        <v>0.75</v>
      </c>
      <c r="F42" s="641">
        <f t="shared" si="30"/>
        <v>0.75</v>
      </c>
      <c r="G42" s="641">
        <f t="shared" si="30"/>
        <v>0.75</v>
      </c>
      <c r="H42" s="641">
        <f t="shared" si="30"/>
        <v>0.75</v>
      </c>
      <c r="I42" s="641">
        <f t="shared" si="30"/>
        <v>0.75</v>
      </c>
      <c r="J42" s="641">
        <f t="shared" si="30"/>
        <v>0.75</v>
      </c>
      <c r="K42" s="641">
        <f t="shared" si="30"/>
        <v>0.75</v>
      </c>
      <c r="L42" s="641">
        <f t="shared" si="30"/>
        <v>0.75</v>
      </c>
      <c r="M42" s="641">
        <f t="shared" si="30"/>
        <v>0.75</v>
      </c>
      <c r="N42" s="641">
        <f t="shared" si="30"/>
        <v>0.75</v>
      </c>
      <c r="R42" s="24"/>
      <c r="S42" s="24"/>
      <c r="T42" s="21"/>
      <c r="U42" s="21"/>
      <c r="V42" s="21"/>
      <c r="W42" s="21"/>
      <c r="X42" s="21"/>
      <c r="Y42" s="21"/>
      <c r="Z42" s="21"/>
      <c r="AA42" s="21"/>
      <c r="AB42" s="21"/>
      <c r="AC42" s="21"/>
      <c r="AD42" s="21"/>
      <c r="AE42" s="21"/>
    </row>
    <row r="43" spans="1:31" x14ac:dyDescent="0.2">
      <c r="A43" s="244" t="s">
        <v>463</v>
      </c>
      <c r="B43" s="245" t="s">
        <v>41</v>
      </c>
      <c r="C43" s="309">
        <v>0.95</v>
      </c>
      <c r="D43" s="641">
        <f t="shared" ref="D43:N43" si="31">C43</f>
        <v>0.95</v>
      </c>
      <c r="E43" s="641">
        <f t="shared" si="31"/>
        <v>0.95</v>
      </c>
      <c r="F43" s="641">
        <f t="shared" si="31"/>
        <v>0.95</v>
      </c>
      <c r="G43" s="641">
        <f t="shared" si="31"/>
        <v>0.95</v>
      </c>
      <c r="H43" s="641">
        <f t="shared" si="31"/>
        <v>0.95</v>
      </c>
      <c r="I43" s="641">
        <f t="shared" si="31"/>
        <v>0.95</v>
      </c>
      <c r="J43" s="641">
        <f t="shared" si="31"/>
        <v>0.95</v>
      </c>
      <c r="K43" s="641">
        <f t="shared" si="31"/>
        <v>0.95</v>
      </c>
      <c r="L43" s="641">
        <f t="shared" si="31"/>
        <v>0.95</v>
      </c>
      <c r="M43" s="641">
        <f t="shared" si="31"/>
        <v>0.95</v>
      </c>
      <c r="N43" s="641">
        <f t="shared" si="31"/>
        <v>0.95</v>
      </c>
      <c r="R43" s="24"/>
      <c r="S43" s="24"/>
      <c r="T43" s="21"/>
      <c r="U43" s="21"/>
      <c r="V43" s="21"/>
      <c r="W43" s="21"/>
      <c r="X43" s="21"/>
      <c r="Y43" s="21"/>
      <c r="Z43" s="21"/>
      <c r="AA43" s="21"/>
      <c r="AB43" s="21"/>
      <c r="AC43" s="21"/>
      <c r="AD43" s="21"/>
      <c r="AE43" s="21"/>
    </row>
    <row r="44" spans="1:31" x14ac:dyDescent="0.2">
      <c r="A44" s="244" t="s">
        <v>465</v>
      </c>
      <c r="B44" s="245" t="s">
        <v>40</v>
      </c>
      <c r="C44" s="642">
        <f>C41/C42/C43</f>
        <v>0</v>
      </c>
      <c r="D44" s="642">
        <f t="shared" ref="D44:N44" si="32">D41/D42/D43</f>
        <v>0</v>
      </c>
      <c r="E44" s="642">
        <f t="shared" si="32"/>
        <v>0</v>
      </c>
      <c r="F44" s="642">
        <f t="shared" si="32"/>
        <v>0</v>
      </c>
      <c r="G44" s="642">
        <f t="shared" si="32"/>
        <v>0</v>
      </c>
      <c r="H44" s="642">
        <f t="shared" si="32"/>
        <v>0</v>
      </c>
      <c r="I44" s="642">
        <f t="shared" si="32"/>
        <v>0</v>
      </c>
      <c r="J44" s="642">
        <f t="shared" si="32"/>
        <v>0</v>
      </c>
      <c r="K44" s="642">
        <f t="shared" si="32"/>
        <v>0</v>
      </c>
      <c r="L44" s="642">
        <f t="shared" si="32"/>
        <v>0</v>
      </c>
      <c r="M44" s="642">
        <f t="shared" si="32"/>
        <v>0</v>
      </c>
      <c r="N44" s="642">
        <f t="shared" si="32"/>
        <v>0</v>
      </c>
      <c r="R44" s="24"/>
      <c r="S44" s="24"/>
      <c r="T44" s="21"/>
      <c r="U44" s="21"/>
      <c r="V44" s="21"/>
      <c r="W44" s="21"/>
      <c r="X44" s="21"/>
      <c r="Y44" s="21"/>
      <c r="Z44" s="21"/>
      <c r="AA44" s="21"/>
      <c r="AB44" s="21"/>
      <c r="AC44" s="21"/>
      <c r="AD44" s="21"/>
      <c r="AE44" s="21"/>
    </row>
    <row r="45" spans="1:31" x14ac:dyDescent="0.2">
      <c r="A45" s="244" t="s">
        <v>466</v>
      </c>
      <c r="B45" s="643">
        <v>0</v>
      </c>
      <c r="C45" s="642">
        <f>B45-C44</f>
        <v>0</v>
      </c>
      <c r="D45" s="642">
        <f>C45+C46-D44</f>
        <v>0</v>
      </c>
      <c r="E45" s="642">
        <f t="shared" ref="E45:N45" si="33">D45+D46-E44</f>
        <v>0</v>
      </c>
      <c r="F45" s="642">
        <f t="shared" si="33"/>
        <v>0</v>
      </c>
      <c r="G45" s="642">
        <f t="shared" si="33"/>
        <v>0</v>
      </c>
      <c r="H45" s="642">
        <f t="shared" si="33"/>
        <v>0</v>
      </c>
      <c r="I45" s="642">
        <f t="shared" si="33"/>
        <v>0</v>
      </c>
      <c r="J45" s="642">
        <f t="shared" si="33"/>
        <v>0</v>
      </c>
      <c r="K45" s="642">
        <f t="shared" si="33"/>
        <v>0</v>
      </c>
      <c r="L45" s="642">
        <f t="shared" si="33"/>
        <v>0</v>
      </c>
      <c r="M45" s="642">
        <f t="shared" si="33"/>
        <v>0</v>
      </c>
      <c r="N45" s="642">
        <f t="shared" si="33"/>
        <v>0</v>
      </c>
      <c r="R45" s="24"/>
      <c r="S45" s="24"/>
      <c r="T45" s="21"/>
      <c r="U45" s="21"/>
      <c r="V45" s="21"/>
      <c r="W45" s="21"/>
      <c r="X45" s="21"/>
      <c r="Y45" s="21"/>
      <c r="Z45" s="21"/>
      <c r="AA45" s="21"/>
      <c r="AB45" s="21"/>
      <c r="AC45" s="21"/>
      <c r="AD45" s="21"/>
      <c r="AE45" s="21"/>
    </row>
    <row r="46" spans="1:31" x14ac:dyDescent="0.2">
      <c r="A46" s="244" t="s">
        <v>467</v>
      </c>
      <c r="B46" s="245" t="s">
        <v>40</v>
      </c>
      <c r="C46" s="289">
        <f>IF(C45&lt;0,-C45,0)</f>
        <v>0</v>
      </c>
      <c r="D46" s="289">
        <f>IF(D45&lt;0,-D45,0)</f>
        <v>0</v>
      </c>
      <c r="E46" s="289">
        <f t="shared" ref="E46:N46" si="34">IF(E45&lt;0,-E45,0)</f>
        <v>0</v>
      </c>
      <c r="F46" s="289">
        <f t="shared" si="34"/>
        <v>0</v>
      </c>
      <c r="G46" s="289">
        <f t="shared" si="34"/>
        <v>0</v>
      </c>
      <c r="H46" s="289">
        <f t="shared" si="34"/>
        <v>0</v>
      </c>
      <c r="I46" s="289">
        <f t="shared" si="34"/>
        <v>0</v>
      </c>
      <c r="J46" s="289">
        <f t="shared" si="34"/>
        <v>0</v>
      </c>
      <c r="K46" s="289">
        <f t="shared" si="34"/>
        <v>0</v>
      </c>
      <c r="L46" s="289">
        <f t="shared" si="34"/>
        <v>0</v>
      </c>
      <c r="M46" s="289">
        <f t="shared" si="34"/>
        <v>0</v>
      </c>
      <c r="N46" s="289">
        <f t="shared" si="34"/>
        <v>0</v>
      </c>
      <c r="R46" s="24"/>
      <c r="S46" s="24"/>
      <c r="T46" s="21"/>
      <c r="U46" s="21"/>
      <c r="V46" s="21"/>
      <c r="W46" s="21"/>
      <c r="X46" s="21"/>
      <c r="Y46" s="21"/>
      <c r="Z46" s="21"/>
      <c r="AA46" s="21"/>
      <c r="AB46" s="21"/>
      <c r="AC46" s="21"/>
      <c r="AD46" s="21"/>
      <c r="AE46" s="21"/>
    </row>
    <row r="47" spans="1:31" x14ac:dyDescent="0.2">
      <c r="A47" s="244" t="s">
        <v>315</v>
      </c>
      <c r="B47" s="245" t="s">
        <v>411</v>
      </c>
      <c r="C47" s="639">
        <v>3</v>
      </c>
      <c r="D47" s="639">
        <f>C47</f>
        <v>3</v>
      </c>
      <c r="E47" s="639">
        <f t="shared" ref="E47:N47" si="35">D47</f>
        <v>3</v>
      </c>
      <c r="F47" s="639">
        <f t="shared" si="35"/>
        <v>3</v>
      </c>
      <c r="G47" s="639">
        <f t="shared" si="35"/>
        <v>3</v>
      </c>
      <c r="H47" s="639">
        <f t="shared" si="35"/>
        <v>3</v>
      </c>
      <c r="I47" s="639">
        <f t="shared" si="35"/>
        <v>3</v>
      </c>
      <c r="J47" s="639">
        <f t="shared" si="35"/>
        <v>3</v>
      </c>
      <c r="K47" s="639">
        <f t="shared" si="35"/>
        <v>3</v>
      </c>
      <c r="L47" s="639">
        <f t="shared" si="35"/>
        <v>3</v>
      </c>
      <c r="M47" s="639">
        <f t="shared" si="35"/>
        <v>3</v>
      </c>
      <c r="N47" s="639">
        <f t="shared" si="35"/>
        <v>3</v>
      </c>
      <c r="R47" s="24"/>
      <c r="S47" s="24"/>
      <c r="T47" s="21"/>
      <c r="U47" s="21"/>
      <c r="V47" s="21"/>
      <c r="W47" s="21"/>
      <c r="X47" s="21"/>
      <c r="Y47" s="21"/>
      <c r="Z47" s="21"/>
      <c r="AA47" s="21"/>
      <c r="AB47" s="21"/>
      <c r="AC47" s="21"/>
      <c r="AD47" s="21"/>
      <c r="AE47" s="21"/>
    </row>
    <row r="48" spans="1:31" ht="13.5" thickBot="1" x14ac:dyDescent="0.25">
      <c r="A48" s="248" t="s">
        <v>411</v>
      </c>
      <c r="B48" s="248"/>
      <c r="C48" s="248">
        <f>C46*C47</f>
        <v>0</v>
      </c>
      <c r="D48" s="248">
        <f t="shared" ref="D48:N48" si="36">D44*D47</f>
        <v>0</v>
      </c>
      <c r="E48" s="248">
        <f t="shared" si="36"/>
        <v>0</v>
      </c>
      <c r="F48" s="248">
        <f t="shared" si="36"/>
        <v>0</v>
      </c>
      <c r="G48" s="248">
        <f t="shared" si="36"/>
        <v>0</v>
      </c>
      <c r="H48" s="248">
        <f t="shared" si="36"/>
        <v>0</v>
      </c>
      <c r="I48" s="248">
        <f t="shared" si="36"/>
        <v>0</v>
      </c>
      <c r="J48" s="248">
        <f t="shared" si="36"/>
        <v>0</v>
      </c>
      <c r="K48" s="248">
        <f t="shared" si="36"/>
        <v>0</v>
      </c>
      <c r="L48" s="248">
        <f t="shared" si="36"/>
        <v>0</v>
      </c>
      <c r="M48" s="248">
        <f t="shared" si="36"/>
        <v>0</v>
      </c>
      <c r="N48" s="248">
        <f t="shared" si="36"/>
        <v>0</v>
      </c>
      <c r="R48" s="24"/>
      <c r="S48" s="24"/>
      <c r="T48" s="21"/>
      <c r="U48" s="21"/>
      <c r="V48" s="21"/>
      <c r="W48" s="21"/>
      <c r="X48" s="21"/>
      <c r="Y48" s="21"/>
      <c r="Z48" s="21"/>
      <c r="AA48" s="21"/>
      <c r="AB48" s="21"/>
      <c r="AC48" s="21"/>
      <c r="AD48" s="21"/>
      <c r="AE48" s="21"/>
    </row>
    <row r="49" spans="1:31" x14ac:dyDescent="0.2">
      <c r="A49" s="22"/>
      <c r="B49" s="3"/>
      <c r="C49" s="3"/>
      <c r="D49" s="3"/>
      <c r="E49" s="3"/>
      <c r="F49" s="3"/>
      <c r="G49" s="3"/>
      <c r="H49" s="3"/>
      <c r="I49" s="3"/>
      <c r="J49" s="3"/>
      <c r="K49" s="3"/>
      <c r="L49" s="3"/>
      <c r="M49" s="3"/>
      <c r="N49" s="3"/>
      <c r="R49" s="24"/>
      <c r="S49" s="24"/>
      <c r="T49" s="21"/>
      <c r="U49" s="21"/>
      <c r="V49" s="21"/>
      <c r="W49" s="21"/>
      <c r="X49" s="21"/>
      <c r="Y49" s="21"/>
      <c r="Z49" s="21"/>
      <c r="AA49" s="21"/>
      <c r="AB49" s="21"/>
      <c r="AC49" s="21"/>
      <c r="AD49" s="21"/>
      <c r="AE49" s="21"/>
    </row>
    <row r="50" spans="1:31" ht="16.5" thickBot="1" x14ac:dyDescent="0.3">
      <c r="A50" s="16" t="s">
        <v>361</v>
      </c>
      <c r="R50" s="24"/>
      <c r="S50" s="24"/>
      <c r="T50" s="21"/>
      <c r="U50" s="21"/>
      <c r="V50" s="21"/>
      <c r="W50" s="21"/>
      <c r="X50" s="21"/>
      <c r="Y50" s="21"/>
      <c r="Z50" s="21"/>
      <c r="AA50" s="21"/>
      <c r="AB50" s="21"/>
      <c r="AC50" s="21"/>
      <c r="AD50" s="21"/>
      <c r="AE50" s="21"/>
    </row>
    <row r="51" spans="1:31" ht="13.5" thickBot="1" x14ac:dyDescent="0.25">
      <c r="A51" s="19" t="s">
        <v>363</v>
      </c>
      <c r="B51" s="771">
        <v>135</v>
      </c>
      <c r="C51" s="19" t="str">
        <f t="shared" ref="C51:N51" si="37">C18</f>
        <v>Mar</v>
      </c>
      <c r="D51" s="19" t="str">
        <f t="shared" si="37"/>
        <v>Apr</v>
      </c>
      <c r="E51" s="19" t="str">
        <f t="shared" si="37"/>
        <v>May</v>
      </c>
      <c r="F51" s="19" t="str">
        <f t="shared" si="37"/>
        <v>Jun</v>
      </c>
      <c r="G51" s="19" t="str">
        <f t="shared" si="37"/>
        <v>Jul</v>
      </c>
      <c r="H51" s="19" t="str">
        <f t="shared" si="37"/>
        <v>Aug</v>
      </c>
      <c r="I51" s="19" t="str">
        <f t="shared" si="37"/>
        <v>Sep</v>
      </c>
      <c r="J51" s="19" t="str">
        <f t="shared" si="37"/>
        <v>Oct</v>
      </c>
      <c r="K51" s="19" t="str">
        <f t="shared" si="37"/>
        <v>Nov</v>
      </c>
      <c r="L51" s="19" t="str">
        <f t="shared" si="37"/>
        <v>Dec</v>
      </c>
      <c r="M51" s="19" t="str">
        <f t="shared" si="37"/>
        <v>Jan</v>
      </c>
      <c r="N51" s="19" t="str">
        <f t="shared" si="37"/>
        <v>Feb</v>
      </c>
      <c r="R51" s="24"/>
      <c r="S51" s="24"/>
      <c r="T51" s="21"/>
      <c r="U51" s="21"/>
      <c r="V51" s="21"/>
      <c r="W51" s="21"/>
      <c r="X51" s="21"/>
      <c r="Y51" s="21"/>
      <c r="Z51" s="21"/>
      <c r="AA51" s="21"/>
      <c r="AB51" s="21"/>
      <c r="AC51" s="21"/>
      <c r="AD51" s="21"/>
      <c r="AE51" s="21"/>
    </row>
    <row r="52" spans="1:31" x14ac:dyDescent="0.2">
      <c r="A52" s="242" t="s">
        <v>468</v>
      </c>
      <c r="B52" s="189" t="s">
        <v>88</v>
      </c>
      <c r="C52" s="640">
        <f>IF('P2 Feeding'!D22&lt;0,-'P2 Feeding'!D22,0)</f>
        <v>0</v>
      </c>
      <c r="D52" s="640">
        <f>IF('P2 Feeding'!E22&lt;0,-'P2 Feeding'!E22,0)</f>
        <v>0</v>
      </c>
      <c r="E52" s="640">
        <f>IF('P2 Feeding'!F22&lt;0,-'P2 Feeding'!F22,0)</f>
        <v>0</v>
      </c>
      <c r="F52" s="640">
        <f>IF('P2 Feeding'!G22&lt;0,-'P2 Feeding'!G22,0)</f>
        <v>0</v>
      </c>
      <c r="G52" s="640">
        <f>IF('P2 Feeding'!H22&lt;0,-'P2 Feeding'!H22,0)</f>
        <v>0</v>
      </c>
      <c r="H52" s="640">
        <f>IF('P2 Feeding'!I22&lt;0,-'P2 Feeding'!I22,0)</f>
        <v>0</v>
      </c>
      <c r="I52" s="640">
        <f>IF('P2 Feeding'!J22&lt;0,-'P2 Feeding'!J22,0)</f>
        <v>0</v>
      </c>
      <c r="J52" s="640">
        <f>IF('P2 Feeding'!K22&lt;0,-'P2 Feeding'!K22,0)</f>
        <v>0</v>
      </c>
      <c r="K52" s="640">
        <f>IF('P2 Feeding'!L22&lt;0,-'P2 Feeding'!L22,0)</f>
        <v>0</v>
      </c>
      <c r="L52" s="640">
        <f>IF('P2 Feeding'!M22&lt;0,-'P2 Feeding'!M22,0)</f>
        <v>0</v>
      </c>
      <c r="M52" s="640">
        <f>IF('P2 Feeding'!N22&lt;0,-'P2 Feeding'!N22,0)</f>
        <v>0</v>
      </c>
      <c r="N52" s="640">
        <f>IF('P2 Feeding'!O22&lt;0,-'P2 Feeding'!O22,0)</f>
        <v>0</v>
      </c>
      <c r="R52" s="24"/>
      <c r="T52" s="21"/>
      <c r="U52" s="21"/>
      <c r="V52" s="21"/>
      <c r="W52" s="21"/>
      <c r="X52" s="21"/>
      <c r="Y52" s="21"/>
      <c r="Z52" s="21"/>
      <c r="AA52" s="21"/>
      <c r="AB52" s="21"/>
      <c r="AC52" s="21"/>
      <c r="AD52" s="21"/>
      <c r="AE52" s="21"/>
    </row>
    <row r="53" spans="1:31" x14ac:dyDescent="0.2">
      <c r="A53" s="244" t="s">
        <v>470</v>
      </c>
      <c r="B53" s="245" t="s">
        <v>40</v>
      </c>
      <c r="C53" s="642">
        <f>IF('P2 Feeding'!D22&gt;0,'P2 Feeding'!D22,0)</f>
        <v>0</v>
      </c>
      <c r="D53" s="642">
        <f>IF('P2 Feeding'!E22&gt;0,'P2 Feeding'!E22,0)</f>
        <v>0</v>
      </c>
      <c r="E53" s="642">
        <f>IF('P2 Feeding'!F22&gt;0,'P2 Feeding'!F22,0)</f>
        <v>0</v>
      </c>
      <c r="F53" s="642">
        <f>IF('P2 Feeding'!G22&gt;0,'P2 Feeding'!G22,0)</f>
        <v>0</v>
      </c>
      <c r="G53" s="642">
        <f>IF('P2 Feeding'!H22&gt;0,'P2 Feeding'!H22,0)</f>
        <v>0</v>
      </c>
      <c r="H53" s="642">
        <f>IF('P2 Feeding'!I22&gt;0,'P2 Feeding'!I22,0)</f>
        <v>0</v>
      </c>
      <c r="I53" s="642">
        <f>IF('P2 Feeding'!J22&gt;0,'P2 Feeding'!J22,0)</f>
        <v>0</v>
      </c>
      <c r="J53" s="642">
        <f>IF('P2 Feeding'!K22&gt;0,'P2 Feeding'!K22,0)</f>
        <v>0</v>
      </c>
      <c r="K53" s="642">
        <f>IF('P2 Feeding'!L22&gt;0,'P2 Feeding'!L22,0)</f>
        <v>0</v>
      </c>
      <c r="L53" s="642">
        <f>IF('P2 Feeding'!M22&gt;0,'P2 Feeding'!M22,0)</f>
        <v>0</v>
      </c>
      <c r="M53" s="642">
        <f>IF('P2 Feeding'!N22&gt;0,'P2 Feeding'!N22,0)</f>
        <v>0</v>
      </c>
      <c r="N53" s="642">
        <f>IF('P2 Feeding'!O22&gt;0,'P2 Feeding'!O22,0)</f>
        <v>0</v>
      </c>
      <c r="R53" s="24"/>
      <c r="S53" s="24"/>
      <c r="T53" s="21"/>
      <c r="U53" s="21"/>
      <c r="V53" s="21"/>
      <c r="W53" s="21"/>
      <c r="X53" s="21"/>
      <c r="Y53" s="21"/>
      <c r="Z53" s="21"/>
      <c r="AA53" s="21"/>
      <c r="AB53" s="21"/>
      <c r="AC53" s="21"/>
      <c r="AD53" s="21"/>
      <c r="AE53" s="21"/>
    </row>
    <row r="54" spans="1:31" x14ac:dyDescent="0.2">
      <c r="A54" s="244" t="s">
        <v>471</v>
      </c>
      <c r="B54" s="245" t="s">
        <v>89</v>
      </c>
      <c r="C54" s="309">
        <v>0.8</v>
      </c>
      <c r="D54" s="309">
        <f>C54</f>
        <v>0.8</v>
      </c>
      <c r="E54" s="309">
        <f t="shared" ref="E54:N54" si="38">D54</f>
        <v>0.8</v>
      </c>
      <c r="F54" s="309">
        <f t="shared" si="38"/>
        <v>0.8</v>
      </c>
      <c r="G54" s="309">
        <f t="shared" si="38"/>
        <v>0.8</v>
      </c>
      <c r="H54" s="309">
        <f t="shared" si="38"/>
        <v>0.8</v>
      </c>
      <c r="I54" s="309">
        <f t="shared" si="38"/>
        <v>0.8</v>
      </c>
      <c r="J54" s="309">
        <f t="shared" si="38"/>
        <v>0.8</v>
      </c>
      <c r="K54" s="309">
        <f t="shared" si="38"/>
        <v>0.8</v>
      </c>
      <c r="L54" s="309">
        <f t="shared" si="38"/>
        <v>0.8</v>
      </c>
      <c r="M54" s="309">
        <f t="shared" si="38"/>
        <v>0.8</v>
      </c>
      <c r="N54" s="309">
        <f t="shared" si="38"/>
        <v>0.8</v>
      </c>
      <c r="R54" s="24"/>
      <c r="S54" s="24"/>
      <c r="T54" s="21"/>
      <c r="U54" s="21"/>
      <c r="V54" s="21"/>
      <c r="W54" s="21"/>
      <c r="X54" s="21"/>
      <c r="Y54" s="21"/>
      <c r="Z54" s="21"/>
      <c r="AA54" s="21"/>
      <c r="AB54" s="21"/>
      <c r="AC54" s="21"/>
      <c r="AD54" s="21"/>
      <c r="AE54" s="21"/>
    </row>
    <row r="55" spans="1:31" x14ac:dyDescent="0.2">
      <c r="A55" s="244" t="s">
        <v>93</v>
      </c>
      <c r="B55" s="245" t="s">
        <v>41</v>
      </c>
      <c r="C55" s="309">
        <v>0.75</v>
      </c>
      <c r="D55" s="309">
        <f t="shared" ref="D55:N55" si="39">C55</f>
        <v>0.75</v>
      </c>
      <c r="E55" s="309">
        <f t="shared" si="39"/>
        <v>0.75</v>
      </c>
      <c r="F55" s="309">
        <f t="shared" si="39"/>
        <v>0.75</v>
      </c>
      <c r="G55" s="309">
        <f t="shared" si="39"/>
        <v>0.75</v>
      </c>
      <c r="H55" s="309">
        <f t="shared" si="39"/>
        <v>0.75</v>
      </c>
      <c r="I55" s="309">
        <f t="shared" si="39"/>
        <v>0.75</v>
      </c>
      <c r="J55" s="309">
        <f t="shared" si="39"/>
        <v>0.75</v>
      </c>
      <c r="K55" s="309">
        <f t="shared" si="39"/>
        <v>0.75</v>
      </c>
      <c r="L55" s="309">
        <f t="shared" si="39"/>
        <v>0.75</v>
      </c>
      <c r="M55" s="309">
        <f t="shared" si="39"/>
        <v>0.75</v>
      </c>
      <c r="N55" s="309">
        <f t="shared" si="39"/>
        <v>0.75</v>
      </c>
      <c r="R55" s="24"/>
      <c r="S55" s="24"/>
      <c r="T55" s="21"/>
      <c r="U55" s="21"/>
      <c r="V55" s="21"/>
      <c r="W55" s="21"/>
      <c r="X55" s="21"/>
      <c r="Y55" s="21"/>
      <c r="Z55" s="21"/>
      <c r="AA55" s="21"/>
      <c r="AB55" s="21"/>
      <c r="AC55" s="21"/>
      <c r="AD55" s="21"/>
      <c r="AE55" s="21"/>
    </row>
    <row r="56" spans="1:31" x14ac:dyDescent="0.2">
      <c r="A56" s="244" t="s">
        <v>469</v>
      </c>
      <c r="B56" s="245" t="s">
        <v>40</v>
      </c>
      <c r="C56" s="642">
        <f>C53/C54/C55</f>
        <v>0</v>
      </c>
      <c r="D56" s="642">
        <f t="shared" ref="D56:N56" si="40">D53/D54/D55</f>
        <v>0</v>
      </c>
      <c r="E56" s="642">
        <f t="shared" si="40"/>
        <v>0</v>
      </c>
      <c r="F56" s="642">
        <f t="shared" si="40"/>
        <v>0</v>
      </c>
      <c r="G56" s="642">
        <f t="shared" si="40"/>
        <v>0</v>
      </c>
      <c r="H56" s="642">
        <f t="shared" si="40"/>
        <v>0</v>
      </c>
      <c r="I56" s="642">
        <f t="shared" si="40"/>
        <v>0</v>
      </c>
      <c r="J56" s="642">
        <f t="shared" si="40"/>
        <v>0</v>
      </c>
      <c r="K56" s="642">
        <f t="shared" si="40"/>
        <v>0</v>
      </c>
      <c r="L56" s="642">
        <f t="shared" si="40"/>
        <v>0</v>
      </c>
      <c r="M56" s="642">
        <f t="shared" si="40"/>
        <v>0</v>
      </c>
      <c r="N56" s="642">
        <f t="shared" si="40"/>
        <v>0</v>
      </c>
      <c r="R56" s="24"/>
      <c r="S56" s="24"/>
      <c r="T56" s="21"/>
      <c r="U56" s="21"/>
      <c r="V56" s="21"/>
      <c r="W56" s="21"/>
      <c r="X56" s="21"/>
      <c r="Y56" s="21"/>
      <c r="Z56" s="21"/>
      <c r="AA56" s="21"/>
      <c r="AB56" s="21"/>
      <c r="AC56" s="21"/>
      <c r="AD56" s="21"/>
      <c r="AE56" s="21"/>
    </row>
    <row r="57" spans="1:31" ht="13.5" thickBot="1" x14ac:dyDescent="0.25">
      <c r="A57" s="246" t="s">
        <v>466</v>
      </c>
      <c r="B57" s="644">
        <v>0</v>
      </c>
      <c r="C57" s="247">
        <f>B57+C52-C56</f>
        <v>0</v>
      </c>
      <c r="D57" s="247">
        <f t="shared" ref="D57:N57" si="41">C57+D52-D56</f>
        <v>0</v>
      </c>
      <c r="E57" s="247">
        <f t="shared" si="41"/>
        <v>0</v>
      </c>
      <c r="F57" s="247">
        <f t="shared" si="41"/>
        <v>0</v>
      </c>
      <c r="G57" s="247">
        <f t="shared" si="41"/>
        <v>0</v>
      </c>
      <c r="H57" s="247">
        <f t="shared" si="41"/>
        <v>0</v>
      </c>
      <c r="I57" s="247">
        <f t="shared" si="41"/>
        <v>0</v>
      </c>
      <c r="J57" s="247">
        <f t="shared" si="41"/>
        <v>0</v>
      </c>
      <c r="K57" s="247">
        <f t="shared" si="41"/>
        <v>0</v>
      </c>
      <c r="L57" s="247">
        <f t="shared" si="41"/>
        <v>0</v>
      </c>
      <c r="M57" s="247">
        <f t="shared" si="41"/>
        <v>0</v>
      </c>
      <c r="N57" s="247">
        <f t="shared" si="41"/>
        <v>0</v>
      </c>
      <c r="O57" s="2">
        <f>MIN(C57:N57)</f>
        <v>0</v>
      </c>
      <c r="R57" s="24"/>
      <c r="S57" s="24"/>
      <c r="T57" s="21"/>
      <c r="U57" s="21"/>
      <c r="V57" s="21"/>
      <c r="W57" s="21"/>
      <c r="X57" s="21"/>
      <c r="Y57" s="21"/>
      <c r="Z57" s="21"/>
      <c r="AA57" s="21"/>
      <c r="AB57" s="21"/>
      <c r="AC57" s="21"/>
      <c r="AD57" s="21"/>
      <c r="AE57" s="21"/>
    </row>
    <row r="58" spans="1:31" ht="13.5" thickBot="1" x14ac:dyDescent="0.25">
      <c r="A58" s="770" t="s">
        <v>502</v>
      </c>
      <c r="B58" s="768">
        <v>250</v>
      </c>
      <c r="C58" s="3"/>
      <c r="D58" s="3"/>
      <c r="E58" s="3"/>
      <c r="F58" s="3"/>
      <c r="G58" s="3"/>
      <c r="H58" s="3"/>
      <c r="I58" s="3"/>
      <c r="J58" s="3"/>
      <c r="K58" s="3"/>
      <c r="L58" s="3"/>
      <c r="M58" s="3"/>
      <c r="N58" s="3"/>
      <c r="R58" s="24"/>
      <c r="S58" s="24"/>
      <c r="T58" s="21"/>
      <c r="U58" s="21"/>
      <c r="V58" s="21"/>
      <c r="W58" s="21"/>
      <c r="X58" s="21"/>
      <c r="Y58" s="21"/>
      <c r="Z58" s="21"/>
      <c r="AA58" s="21"/>
      <c r="AB58" s="21"/>
      <c r="AC58" s="21"/>
      <c r="AD58" s="21"/>
      <c r="AE58" s="21"/>
    </row>
    <row r="59" spans="1:31" x14ac:dyDescent="0.2">
      <c r="A59" s="22"/>
      <c r="B59" s="3"/>
      <c r="C59" s="3"/>
      <c r="D59" s="3"/>
      <c r="E59" s="3"/>
      <c r="F59" s="3"/>
      <c r="G59" s="3"/>
      <c r="H59" s="3"/>
      <c r="I59" s="3"/>
      <c r="J59" s="3"/>
      <c r="K59" s="3"/>
      <c r="L59" s="3"/>
      <c r="M59" s="3"/>
      <c r="N59" s="3"/>
      <c r="R59" s="24"/>
      <c r="S59" s="24"/>
      <c r="T59" s="21"/>
      <c r="U59" s="21"/>
      <c r="V59" s="21"/>
      <c r="W59" s="21"/>
      <c r="X59" s="21"/>
      <c r="Y59" s="21"/>
      <c r="Z59" s="21"/>
      <c r="AA59" s="21"/>
      <c r="AB59" s="21"/>
      <c r="AC59" s="21"/>
      <c r="AD59" s="21"/>
      <c r="AE59" s="21"/>
    </row>
    <row r="60" spans="1:31" ht="16.5" thickBot="1" x14ac:dyDescent="0.3">
      <c r="A60" s="16" t="s">
        <v>488</v>
      </c>
    </row>
    <row r="61" spans="1:31" x14ac:dyDescent="0.2">
      <c r="A61" s="19" t="str">
        <f>'P2 Area'!P12</f>
        <v>Irr - Crop 1 (Lucern)</v>
      </c>
      <c r="B61" s="19"/>
      <c r="C61" s="19"/>
      <c r="D61" s="19" t="str">
        <f>C51</f>
        <v>Mar</v>
      </c>
      <c r="E61" s="19" t="str">
        <f t="shared" ref="E61:O61" si="42">D51</f>
        <v>Apr</v>
      </c>
      <c r="F61" s="19" t="str">
        <f t="shared" si="42"/>
        <v>May</v>
      </c>
      <c r="G61" s="19" t="str">
        <f t="shared" si="42"/>
        <v>Jun</v>
      </c>
      <c r="H61" s="19" t="str">
        <f t="shared" si="42"/>
        <v>Jul</v>
      </c>
      <c r="I61" s="19" t="str">
        <f t="shared" si="42"/>
        <v>Aug</v>
      </c>
      <c r="J61" s="19" t="str">
        <f t="shared" si="42"/>
        <v>Sep</v>
      </c>
      <c r="K61" s="19" t="str">
        <f t="shared" si="42"/>
        <v>Oct</v>
      </c>
      <c r="L61" s="19" t="str">
        <f t="shared" si="42"/>
        <v>Nov</v>
      </c>
      <c r="M61" s="19" t="str">
        <f t="shared" si="42"/>
        <v>Dec</v>
      </c>
      <c r="N61" s="19" t="str">
        <f t="shared" si="42"/>
        <v>Jan</v>
      </c>
      <c r="O61" s="19" t="str">
        <f t="shared" si="42"/>
        <v>Feb</v>
      </c>
      <c r="R61" s="558" t="s">
        <v>365</v>
      </c>
      <c r="S61" s="559"/>
      <c r="T61" s="556" t="str">
        <f t="shared" ref="T61:AE61" si="43">D61</f>
        <v>Mar</v>
      </c>
      <c r="U61" s="19" t="str">
        <f t="shared" si="43"/>
        <v>Apr</v>
      </c>
      <c r="V61" s="19" t="str">
        <f t="shared" si="43"/>
        <v>May</v>
      </c>
      <c r="W61" s="19" t="str">
        <f t="shared" si="43"/>
        <v>Jun</v>
      </c>
      <c r="X61" s="19" t="str">
        <f t="shared" si="43"/>
        <v>Jul</v>
      </c>
      <c r="Y61" s="19" t="str">
        <f t="shared" si="43"/>
        <v>Aug</v>
      </c>
      <c r="Z61" s="19" t="str">
        <f t="shared" si="43"/>
        <v>Sep</v>
      </c>
      <c r="AA61" s="19" t="str">
        <f t="shared" si="43"/>
        <v>Oct</v>
      </c>
      <c r="AB61" s="19" t="str">
        <f t="shared" si="43"/>
        <v>Nov</v>
      </c>
      <c r="AC61" s="19" t="str">
        <f t="shared" si="43"/>
        <v>Dec</v>
      </c>
      <c r="AD61" s="19" t="str">
        <f t="shared" si="43"/>
        <v>Jan</v>
      </c>
      <c r="AE61" s="557" t="str">
        <f t="shared" si="43"/>
        <v>Feb</v>
      </c>
    </row>
    <row r="62" spans="1:31" x14ac:dyDescent="0.2">
      <c r="A62" s="15" t="s">
        <v>112</v>
      </c>
      <c r="B62" s="188" t="s">
        <v>90</v>
      </c>
      <c r="C62" s="189" t="s">
        <v>290</v>
      </c>
      <c r="D62" s="307"/>
      <c r="E62" s="307"/>
      <c r="F62" s="307"/>
      <c r="G62" s="307"/>
      <c r="H62" s="307"/>
      <c r="I62" s="307"/>
      <c r="J62" s="307"/>
      <c r="K62" s="307"/>
      <c r="L62" s="307"/>
      <c r="M62" s="307"/>
      <c r="N62" s="307"/>
      <c r="O62" s="308"/>
      <c r="R62" s="552" t="s">
        <v>370</v>
      </c>
      <c r="S62" s="560">
        <f>MAX(D63:O63)</f>
        <v>0</v>
      </c>
      <c r="T62" s="567"/>
      <c r="U62" s="568"/>
      <c r="V62" s="568"/>
      <c r="W62" s="568"/>
      <c r="X62" s="568"/>
      <c r="Y62" s="568"/>
      <c r="Z62" s="568"/>
      <c r="AA62" s="568"/>
      <c r="AB62" s="568"/>
      <c r="AC62" s="568"/>
      <c r="AD62" s="568"/>
      <c r="AE62" s="560"/>
    </row>
    <row r="63" spans="1:31" x14ac:dyDescent="0.2">
      <c r="A63" s="311"/>
      <c r="B63" s="244" t="s">
        <v>92</v>
      </c>
      <c r="C63" s="245" t="s">
        <v>22</v>
      </c>
      <c r="D63" s="635">
        <f>'P2 Area'!Q12</f>
        <v>0</v>
      </c>
      <c r="E63" s="635">
        <f>'P2 Area'!R12</f>
        <v>0</v>
      </c>
      <c r="F63" s="635">
        <f>'P2 Area'!S12</f>
        <v>0</v>
      </c>
      <c r="G63" s="635">
        <f>'P2 Area'!T12</f>
        <v>0</v>
      </c>
      <c r="H63" s="635">
        <f>'P2 Area'!U12</f>
        <v>0</v>
      </c>
      <c r="I63" s="635">
        <f>'P2 Area'!V12</f>
        <v>0</v>
      </c>
      <c r="J63" s="635">
        <f>'P2 Area'!W12</f>
        <v>0</v>
      </c>
      <c r="K63" s="635">
        <f>'P2 Area'!X12</f>
        <v>0</v>
      </c>
      <c r="L63" s="635">
        <f>'P2 Area'!Y12</f>
        <v>0</v>
      </c>
      <c r="M63" s="635">
        <f>'P2 Area'!Z12</f>
        <v>0</v>
      </c>
      <c r="N63" s="635">
        <f>'P2 Area'!AA12</f>
        <v>0</v>
      </c>
      <c r="O63" s="635">
        <f>'P2 Area'!AB12</f>
        <v>0</v>
      </c>
      <c r="R63" s="553" t="s">
        <v>369</v>
      </c>
      <c r="S63" s="566">
        <f>SUM(T63:AE63)</f>
        <v>1</v>
      </c>
      <c r="T63" s="563">
        <v>0.05</v>
      </c>
      <c r="U63" s="562">
        <v>0.1</v>
      </c>
      <c r="V63" s="562">
        <v>0.15</v>
      </c>
      <c r="W63" s="562">
        <v>0.15</v>
      </c>
      <c r="X63" s="562">
        <v>0.15</v>
      </c>
      <c r="Y63" s="562">
        <v>0.15</v>
      </c>
      <c r="Z63" s="562">
        <v>0.1</v>
      </c>
      <c r="AA63" s="562">
        <v>0.1</v>
      </c>
      <c r="AB63" s="562">
        <v>0.05</v>
      </c>
      <c r="AC63" s="562"/>
      <c r="AD63" s="562"/>
      <c r="AE63" s="564"/>
    </row>
    <row r="64" spans="1:31" ht="13.5" thickBot="1" x14ac:dyDescent="0.25">
      <c r="A64" s="13" t="e">
        <f>SUM(D64:O64)/MAX(D63:O63)</f>
        <v>#DIV/0!</v>
      </c>
      <c r="B64" s="13" t="s">
        <v>472</v>
      </c>
      <c r="C64" s="13" t="s">
        <v>40</v>
      </c>
      <c r="D64" s="646">
        <f>D62*D63</f>
        <v>0</v>
      </c>
      <c r="E64" s="646">
        <f t="shared" ref="E64:O64" si="44">E62*E63</f>
        <v>0</v>
      </c>
      <c r="F64" s="646">
        <f t="shared" si="44"/>
        <v>0</v>
      </c>
      <c r="G64" s="646">
        <f t="shared" si="44"/>
        <v>0</v>
      </c>
      <c r="H64" s="646">
        <f t="shared" si="44"/>
        <v>0</v>
      </c>
      <c r="I64" s="646">
        <f t="shared" si="44"/>
        <v>0</v>
      </c>
      <c r="J64" s="646">
        <f t="shared" si="44"/>
        <v>0</v>
      </c>
      <c r="K64" s="646">
        <f t="shared" si="44"/>
        <v>0</v>
      </c>
      <c r="L64" s="646">
        <f t="shared" si="44"/>
        <v>0</v>
      </c>
      <c r="M64" s="646">
        <f t="shared" si="44"/>
        <v>0</v>
      </c>
      <c r="N64" s="646">
        <f t="shared" si="44"/>
        <v>0</v>
      </c>
      <c r="O64" s="646">
        <f t="shared" si="44"/>
        <v>0</v>
      </c>
      <c r="R64" s="554" t="s">
        <v>371</v>
      </c>
      <c r="S64" s="2">
        <v>10000</v>
      </c>
      <c r="T64" s="565">
        <f t="shared" ref="T64:AE64" si="45">$S$65*T63</f>
        <v>0</v>
      </c>
      <c r="U64" s="247">
        <f t="shared" si="45"/>
        <v>0</v>
      </c>
      <c r="V64" s="247">
        <f t="shared" si="45"/>
        <v>0</v>
      </c>
      <c r="W64" s="247">
        <f t="shared" si="45"/>
        <v>0</v>
      </c>
      <c r="X64" s="247">
        <f t="shared" si="45"/>
        <v>0</v>
      </c>
      <c r="Y64" s="247">
        <f t="shared" si="45"/>
        <v>0</v>
      </c>
      <c r="Z64" s="247">
        <f t="shared" si="45"/>
        <v>0</v>
      </c>
      <c r="AA64" s="247">
        <f t="shared" si="45"/>
        <v>0</v>
      </c>
      <c r="AB64" s="247">
        <f t="shared" si="45"/>
        <v>0</v>
      </c>
      <c r="AC64" s="247">
        <f t="shared" si="45"/>
        <v>0</v>
      </c>
      <c r="AD64" s="247">
        <f t="shared" si="45"/>
        <v>0</v>
      </c>
      <c r="AE64" s="561">
        <f t="shared" si="45"/>
        <v>0</v>
      </c>
    </row>
    <row r="65" spans="1:31" ht="13.5" thickBot="1" x14ac:dyDescent="0.25">
      <c r="A65" s="13"/>
      <c r="B65" s="13" t="s">
        <v>473</v>
      </c>
      <c r="C65" s="13" t="s">
        <v>40</v>
      </c>
      <c r="D65" s="646">
        <f>'P2 Feeding'!D16</f>
        <v>0</v>
      </c>
      <c r="E65" s="646">
        <f>'P2 Feeding'!E16</f>
        <v>0</v>
      </c>
      <c r="F65" s="646">
        <f>'P2 Feeding'!F16</f>
        <v>0</v>
      </c>
      <c r="G65" s="646">
        <f>'P2 Feeding'!G16</f>
        <v>0</v>
      </c>
      <c r="H65" s="646">
        <f>'P2 Feeding'!H16</f>
        <v>0</v>
      </c>
      <c r="I65" s="646">
        <f>'P2 Feeding'!I16</f>
        <v>0</v>
      </c>
      <c r="J65" s="646">
        <f>'P2 Feeding'!J16</f>
        <v>0</v>
      </c>
      <c r="K65" s="646">
        <f>'P2 Feeding'!K16</f>
        <v>0</v>
      </c>
      <c r="L65" s="646">
        <f>'P2 Feeding'!L16</f>
        <v>0</v>
      </c>
      <c r="M65" s="646">
        <f>'P2 Feeding'!M16</f>
        <v>0</v>
      </c>
      <c r="N65" s="646">
        <f>'P2 Feeding'!N16</f>
        <v>0</v>
      </c>
      <c r="O65" s="646">
        <f>'P2 Feeding'!O16</f>
        <v>0</v>
      </c>
      <c r="R65" s="555" t="s">
        <v>366</v>
      </c>
      <c r="S65" s="561">
        <f>S64*S62</f>
        <v>0</v>
      </c>
    </row>
    <row r="66" spans="1:31" x14ac:dyDescent="0.2">
      <c r="A66" s="13"/>
      <c r="B66" s="13" t="s">
        <v>474</v>
      </c>
      <c r="C66" s="13" t="s">
        <v>41</v>
      </c>
      <c r="D66" s="310">
        <v>1</v>
      </c>
      <c r="E66" s="310">
        <f>D66</f>
        <v>1</v>
      </c>
      <c r="F66" s="310">
        <f t="shared" ref="F66:O66" si="46">E66</f>
        <v>1</v>
      </c>
      <c r="G66" s="310">
        <f t="shared" si="46"/>
        <v>1</v>
      </c>
      <c r="H66" s="310">
        <f t="shared" si="46"/>
        <v>1</v>
      </c>
      <c r="I66" s="310">
        <f t="shared" si="46"/>
        <v>1</v>
      </c>
      <c r="J66" s="310">
        <f t="shared" si="46"/>
        <v>1</v>
      </c>
      <c r="K66" s="310">
        <f t="shared" si="46"/>
        <v>1</v>
      </c>
      <c r="L66" s="310">
        <f t="shared" si="46"/>
        <v>1</v>
      </c>
      <c r="M66" s="310">
        <f t="shared" si="46"/>
        <v>1</v>
      </c>
      <c r="N66" s="310">
        <f t="shared" si="46"/>
        <v>1</v>
      </c>
      <c r="O66" s="310">
        <f t="shared" si="46"/>
        <v>1</v>
      </c>
    </row>
    <row r="67" spans="1:31" x14ac:dyDescent="0.2">
      <c r="A67" s="13">
        <f>MIN(D69:O69)</f>
        <v>0</v>
      </c>
      <c r="B67" s="13" t="s">
        <v>475</v>
      </c>
      <c r="C67" s="13" t="s">
        <v>40</v>
      </c>
      <c r="D67" s="646">
        <f>D65/D66</f>
        <v>0</v>
      </c>
      <c r="E67" s="646">
        <f t="shared" ref="E67:O67" si="47">E65/E66</f>
        <v>0</v>
      </c>
      <c r="F67" s="646">
        <f t="shared" si="47"/>
        <v>0</v>
      </c>
      <c r="G67" s="646">
        <f t="shared" si="47"/>
        <v>0</v>
      </c>
      <c r="H67" s="646">
        <f t="shared" si="47"/>
        <v>0</v>
      </c>
      <c r="I67" s="646">
        <f t="shared" si="47"/>
        <v>0</v>
      </c>
      <c r="J67" s="646">
        <f t="shared" si="47"/>
        <v>0</v>
      </c>
      <c r="K67" s="646">
        <f t="shared" si="47"/>
        <v>0</v>
      </c>
      <c r="L67" s="646">
        <f t="shared" si="47"/>
        <v>0</v>
      </c>
      <c r="M67" s="646">
        <f t="shared" si="47"/>
        <v>0</v>
      </c>
      <c r="N67" s="646">
        <f t="shared" si="47"/>
        <v>0</v>
      </c>
      <c r="O67" s="646">
        <f t="shared" si="47"/>
        <v>0</v>
      </c>
      <c r="S67" s="650"/>
    </row>
    <row r="68" spans="1:31" x14ac:dyDescent="0.2">
      <c r="A68" s="652"/>
      <c r="B68" s="13" t="s">
        <v>495</v>
      </c>
      <c r="C68" s="13" t="s">
        <v>40</v>
      </c>
      <c r="D68" s="651">
        <f>-Trnsf!D20</f>
        <v>0</v>
      </c>
      <c r="E68" s="651">
        <f>-Trnsf!E20</f>
        <v>0</v>
      </c>
      <c r="F68" s="651">
        <f>-Trnsf!F20</f>
        <v>0</v>
      </c>
      <c r="G68" s="651">
        <f>-Trnsf!G20</f>
        <v>0</v>
      </c>
      <c r="H68" s="651">
        <f>-Trnsf!H20</f>
        <v>0</v>
      </c>
      <c r="I68" s="651">
        <f>-Trnsf!I20</f>
        <v>0</v>
      </c>
      <c r="J68" s="651">
        <f>-Trnsf!J20</f>
        <v>0</v>
      </c>
      <c r="K68" s="651">
        <f>-Trnsf!K20</f>
        <v>0</v>
      </c>
      <c r="L68" s="651">
        <f>-Trnsf!L20</f>
        <v>0</v>
      </c>
      <c r="M68" s="651">
        <f>-Trnsf!M20</f>
        <v>0</v>
      </c>
      <c r="N68" s="651">
        <f>-Trnsf!N20</f>
        <v>0</v>
      </c>
      <c r="O68" s="651">
        <f>-Trnsf!O20</f>
        <v>0</v>
      </c>
    </row>
    <row r="69" spans="1:31" ht="13.5" thickBot="1" x14ac:dyDescent="0.25">
      <c r="A69" s="249" t="s">
        <v>466</v>
      </c>
      <c r="B69" s="645">
        <v>0</v>
      </c>
      <c r="C69" s="247" t="s">
        <v>87</v>
      </c>
      <c r="D69" s="247">
        <f>B69+D64-D67+D68</f>
        <v>0</v>
      </c>
      <c r="E69" s="247">
        <f>D69+E64-E67+E68</f>
        <v>0</v>
      </c>
      <c r="F69" s="247">
        <f t="shared" ref="F69:O69" si="48">E69+F64-F67+F68</f>
        <v>0</v>
      </c>
      <c r="G69" s="247">
        <f t="shared" si="48"/>
        <v>0</v>
      </c>
      <c r="H69" s="247">
        <f t="shared" si="48"/>
        <v>0</v>
      </c>
      <c r="I69" s="247">
        <f t="shared" si="48"/>
        <v>0</v>
      </c>
      <c r="J69" s="247">
        <f t="shared" si="48"/>
        <v>0</v>
      </c>
      <c r="K69" s="247">
        <f t="shared" si="48"/>
        <v>0</v>
      </c>
      <c r="L69" s="247">
        <f t="shared" si="48"/>
        <v>0</v>
      </c>
      <c r="M69" s="247">
        <f t="shared" si="48"/>
        <v>0</v>
      </c>
      <c r="N69" s="247">
        <f t="shared" si="48"/>
        <v>0</v>
      </c>
      <c r="O69" s="247">
        <f t="shared" si="48"/>
        <v>0</v>
      </c>
    </row>
    <row r="70" spans="1:31" ht="13.5" thickBot="1" x14ac:dyDescent="0.25">
      <c r="B70" s="3"/>
      <c r="C70" s="3"/>
      <c r="D70" s="3"/>
      <c r="E70" s="3"/>
      <c r="F70" s="3"/>
      <c r="G70" s="3"/>
      <c r="H70" s="3"/>
      <c r="I70" s="3"/>
      <c r="J70" s="3"/>
      <c r="K70" s="3"/>
      <c r="L70" s="3"/>
      <c r="M70" s="3"/>
      <c r="N70" s="3"/>
      <c r="O70" s="3"/>
    </row>
    <row r="71" spans="1:31" x14ac:dyDescent="0.2">
      <c r="A71" s="19" t="str">
        <f>'P2 Area'!P13</f>
        <v>Irr - Crop 2 (Oats)</v>
      </c>
      <c r="B71" s="19"/>
      <c r="C71" s="19"/>
      <c r="D71" s="19" t="str">
        <f t="shared" ref="D71:O71" si="49">D61</f>
        <v>Mar</v>
      </c>
      <c r="E71" s="19" t="str">
        <f t="shared" si="49"/>
        <v>Apr</v>
      </c>
      <c r="F71" s="19" t="str">
        <f t="shared" si="49"/>
        <v>May</v>
      </c>
      <c r="G71" s="19" t="str">
        <f t="shared" si="49"/>
        <v>Jun</v>
      </c>
      <c r="H71" s="19" t="str">
        <f t="shared" si="49"/>
        <v>Jul</v>
      </c>
      <c r="I71" s="19" t="str">
        <f t="shared" si="49"/>
        <v>Aug</v>
      </c>
      <c r="J71" s="19" t="str">
        <f t="shared" si="49"/>
        <v>Sep</v>
      </c>
      <c r="K71" s="19" t="str">
        <f t="shared" si="49"/>
        <v>Oct</v>
      </c>
      <c r="L71" s="19" t="str">
        <f t="shared" si="49"/>
        <v>Nov</v>
      </c>
      <c r="M71" s="19" t="str">
        <f t="shared" si="49"/>
        <v>Dec</v>
      </c>
      <c r="N71" s="19" t="str">
        <f t="shared" si="49"/>
        <v>Jan</v>
      </c>
      <c r="O71" s="19" t="str">
        <f t="shared" si="49"/>
        <v>Feb</v>
      </c>
      <c r="R71" s="558" t="s">
        <v>365</v>
      </c>
      <c r="S71" s="559"/>
      <c r="T71" s="556" t="str">
        <f t="shared" ref="T71:AE71" si="50">D71</f>
        <v>Mar</v>
      </c>
      <c r="U71" s="19" t="str">
        <f t="shared" si="50"/>
        <v>Apr</v>
      </c>
      <c r="V71" s="19" t="str">
        <f t="shared" si="50"/>
        <v>May</v>
      </c>
      <c r="W71" s="19" t="str">
        <f t="shared" si="50"/>
        <v>Jun</v>
      </c>
      <c r="X71" s="19" t="str">
        <f t="shared" si="50"/>
        <v>Jul</v>
      </c>
      <c r="Y71" s="19" t="str">
        <f t="shared" si="50"/>
        <v>Aug</v>
      </c>
      <c r="Z71" s="19" t="str">
        <f t="shared" si="50"/>
        <v>Sep</v>
      </c>
      <c r="AA71" s="19" t="str">
        <f t="shared" si="50"/>
        <v>Oct</v>
      </c>
      <c r="AB71" s="19" t="str">
        <f t="shared" si="50"/>
        <v>Nov</v>
      </c>
      <c r="AC71" s="19" t="str">
        <f t="shared" si="50"/>
        <v>Dec</v>
      </c>
      <c r="AD71" s="19" t="str">
        <f t="shared" si="50"/>
        <v>Jan</v>
      </c>
      <c r="AE71" s="557" t="str">
        <f t="shared" si="50"/>
        <v>Feb</v>
      </c>
    </row>
    <row r="72" spans="1:31" x14ac:dyDescent="0.2">
      <c r="A72" s="15" t="s">
        <v>112</v>
      </c>
      <c r="B72" s="188" t="s">
        <v>90</v>
      </c>
      <c r="C72" s="189" t="s">
        <v>290</v>
      </c>
      <c r="D72" s="307"/>
      <c r="E72" s="307"/>
      <c r="F72" s="307"/>
      <c r="G72" s="307"/>
      <c r="H72" s="307"/>
      <c r="I72" s="307"/>
      <c r="J72" s="307"/>
      <c r="K72" s="307"/>
      <c r="L72" s="307"/>
      <c r="M72" s="307"/>
      <c r="N72" s="307"/>
      <c r="O72" s="308"/>
      <c r="R72" s="552" t="s">
        <v>370</v>
      </c>
      <c r="S72" s="560">
        <f>MAX(D73:O73)</f>
        <v>0</v>
      </c>
      <c r="T72" s="567"/>
      <c r="U72" s="568"/>
      <c r="V72" s="568"/>
      <c r="W72" s="568"/>
      <c r="X72" s="568"/>
      <c r="Y72" s="568"/>
      <c r="Z72" s="568"/>
      <c r="AA72" s="568"/>
      <c r="AB72" s="568"/>
      <c r="AC72" s="568"/>
      <c r="AD72" s="568"/>
      <c r="AE72" s="560"/>
    </row>
    <row r="73" spans="1:31" x14ac:dyDescent="0.2">
      <c r="A73" s="311"/>
      <c r="B73" s="244" t="s">
        <v>92</v>
      </c>
      <c r="C73" s="245" t="s">
        <v>22</v>
      </c>
      <c r="D73" s="635">
        <f>'P2 Area'!Q13</f>
        <v>0</v>
      </c>
      <c r="E73" s="635">
        <f>'P2 Area'!R13</f>
        <v>0</v>
      </c>
      <c r="F73" s="635">
        <f>'P2 Area'!S13</f>
        <v>0</v>
      </c>
      <c r="G73" s="635">
        <f>'P2 Area'!T13</f>
        <v>0</v>
      </c>
      <c r="H73" s="635">
        <f>'P2 Area'!U13</f>
        <v>0</v>
      </c>
      <c r="I73" s="635">
        <f>'P2 Area'!V13</f>
        <v>0</v>
      </c>
      <c r="J73" s="635">
        <f>'P2 Area'!W13</f>
        <v>0</v>
      </c>
      <c r="K73" s="635">
        <f>'P2 Area'!X13</f>
        <v>0</v>
      </c>
      <c r="L73" s="635">
        <f>'P2 Area'!Y13</f>
        <v>0</v>
      </c>
      <c r="M73" s="635">
        <f>'P2 Area'!Z13</f>
        <v>0</v>
      </c>
      <c r="N73" s="635">
        <f>'P2 Area'!AA13</f>
        <v>0</v>
      </c>
      <c r="O73" s="635">
        <f>'P2 Area'!AB13</f>
        <v>0</v>
      </c>
      <c r="R73" s="553" t="s">
        <v>369</v>
      </c>
      <c r="S73" s="566">
        <f>SUM(T73:AE73)</f>
        <v>0.99999999999999989</v>
      </c>
      <c r="T73" s="563">
        <v>0.1</v>
      </c>
      <c r="U73" s="562">
        <v>0</v>
      </c>
      <c r="V73" s="562"/>
      <c r="W73" s="562"/>
      <c r="X73" s="562"/>
      <c r="Y73" s="562"/>
      <c r="Z73" s="562"/>
      <c r="AA73" s="562">
        <v>0.4</v>
      </c>
      <c r="AB73" s="562">
        <v>0.2</v>
      </c>
      <c r="AC73" s="562">
        <v>0.1</v>
      </c>
      <c r="AD73" s="562">
        <v>0.1</v>
      </c>
      <c r="AE73" s="564">
        <v>0.1</v>
      </c>
    </row>
    <row r="74" spans="1:31" ht="13.5" thickBot="1" x14ac:dyDescent="0.25">
      <c r="A74" s="13" t="e">
        <f>SUM(D74:O74)/MAX(D73:O73)</f>
        <v>#DIV/0!</v>
      </c>
      <c r="B74" s="13" t="s">
        <v>472</v>
      </c>
      <c r="C74" s="13" t="s">
        <v>40</v>
      </c>
      <c r="D74" s="646">
        <f>D72*D73</f>
        <v>0</v>
      </c>
      <c r="E74" s="646">
        <f t="shared" ref="E74:O74" si="51">E72*E73</f>
        <v>0</v>
      </c>
      <c r="F74" s="646">
        <f t="shared" si="51"/>
        <v>0</v>
      </c>
      <c r="G74" s="646">
        <f t="shared" si="51"/>
        <v>0</v>
      </c>
      <c r="H74" s="646">
        <f t="shared" si="51"/>
        <v>0</v>
      </c>
      <c r="I74" s="646">
        <f t="shared" si="51"/>
        <v>0</v>
      </c>
      <c r="J74" s="646">
        <f t="shared" si="51"/>
        <v>0</v>
      </c>
      <c r="K74" s="646">
        <f t="shared" si="51"/>
        <v>0</v>
      </c>
      <c r="L74" s="646">
        <f t="shared" si="51"/>
        <v>0</v>
      </c>
      <c r="M74" s="646">
        <f t="shared" si="51"/>
        <v>0</v>
      </c>
      <c r="N74" s="646">
        <f t="shared" si="51"/>
        <v>0</v>
      </c>
      <c r="O74" s="646">
        <f t="shared" si="51"/>
        <v>0</v>
      </c>
      <c r="R74" s="554" t="s">
        <v>371</v>
      </c>
      <c r="S74" s="2">
        <v>10000</v>
      </c>
      <c r="T74" s="565">
        <f>$S$75*T73</f>
        <v>0</v>
      </c>
      <c r="U74" s="247">
        <f t="shared" ref="U74:AE74" si="52">$S$75*U73</f>
        <v>0</v>
      </c>
      <c r="V74" s="247">
        <f t="shared" si="52"/>
        <v>0</v>
      </c>
      <c r="W74" s="247">
        <f t="shared" si="52"/>
        <v>0</v>
      </c>
      <c r="X74" s="247">
        <f t="shared" si="52"/>
        <v>0</v>
      </c>
      <c r="Y74" s="247">
        <f t="shared" si="52"/>
        <v>0</v>
      </c>
      <c r="Z74" s="247">
        <f t="shared" si="52"/>
        <v>0</v>
      </c>
      <c r="AA74" s="247">
        <f t="shared" si="52"/>
        <v>0</v>
      </c>
      <c r="AB74" s="247">
        <f t="shared" si="52"/>
        <v>0</v>
      </c>
      <c r="AC74" s="247">
        <f t="shared" si="52"/>
        <v>0</v>
      </c>
      <c r="AD74" s="247">
        <f t="shared" si="52"/>
        <v>0</v>
      </c>
      <c r="AE74" s="561">
        <f t="shared" si="52"/>
        <v>0</v>
      </c>
    </row>
    <row r="75" spans="1:31" ht="13.5" thickBot="1" x14ac:dyDescent="0.25">
      <c r="A75" s="13"/>
      <c r="B75" s="13" t="s">
        <v>473</v>
      </c>
      <c r="C75" s="13" t="s">
        <v>40</v>
      </c>
      <c r="D75" s="646">
        <f>'P2 Feeding'!D17</f>
        <v>0</v>
      </c>
      <c r="E75" s="646">
        <f>'P2 Feeding'!E17</f>
        <v>0</v>
      </c>
      <c r="F75" s="646">
        <f>'P2 Feeding'!F17</f>
        <v>0</v>
      </c>
      <c r="G75" s="646">
        <f>'P2 Feeding'!G17</f>
        <v>0</v>
      </c>
      <c r="H75" s="646">
        <f>'P2 Feeding'!H17</f>
        <v>0</v>
      </c>
      <c r="I75" s="646">
        <f>'P2 Feeding'!I17</f>
        <v>0</v>
      </c>
      <c r="J75" s="646">
        <f>'P2 Feeding'!J17</f>
        <v>0</v>
      </c>
      <c r="K75" s="646">
        <f>'P2 Feeding'!K17</f>
        <v>0</v>
      </c>
      <c r="L75" s="646">
        <f>'P2 Feeding'!L17</f>
        <v>0</v>
      </c>
      <c r="M75" s="646">
        <f>'P2 Feeding'!M17</f>
        <v>0</v>
      </c>
      <c r="N75" s="646">
        <f>'P2 Feeding'!N17</f>
        <v>0</v>
      </c>
      <c r="O75" s="646">
        <f>'P2 Feeding'!O17</f>
        <v>0</v>
      </c>
      <c r="R75" s="555" t="s">
        <v>366</v>
      </c>
      <c r="S75" s="561">
        <f>S74*S72</f>
        <v>0</v>
      </c>
    </row>
    <row r="76" spans="1:31" x14ac:dyDescent="0.2">
      <c r="A76" s="13"/>
      <c r="B76" s="13" t="s">
        <v>474</v>
      </c>
      <c r="C76" s="13" t="s">
        <v>41</v>
      </c>
      <c r="D76" s="310">
        <v>1</v>
      </c>
      <c r="E76" s="310">
        <f>D76</f>
        <v>1</v>
      </c>
      <c r="F76" s="310">
        <f t="shared" ref="F76:O76" si="53">E76</f>
        <v>1</v>
      </c>
      <c r="G76" s="310">
        <f t="shared" si="53"/>
        <v>1</v>
      </c>
      <c r="H76" s="310">
        <f t="shared" si="53"/>
        <v>1</v>
      </c>
      <c r="I76" s="310">
        <f t="shared" si="53"/>
        <v>1</v>
      </c>
      <c r="J76" s="310">
        <f t="shared" si="53"/>
        <v>1</v>
      </c>
      <c r="K76" s="310">
        <f t="shared" si="53"/>
        <v>1</v>
      </c>
      <c r="L76" s="310">
        <f t="shared" si="53"/>
        <v>1</v>
      </c>
      <c r="M76" s="310">
        <f t="shared" si="53"/>
        <v>1</v>
      </c>
      <c r="N76" s="310">
        <f t="shared" si="53"/>
        <v>1</v>
      </c>
      <c r="O76" s="310">
        <f t="shared" si="53"/>
        <v>1</v>
      </c>
    </row>
    <row r="77" spans="1:31" x14ac:dyDescent="0.2">
      <c r="A77" s="13">
        <f>MIN(D79:O79)</f>
        <v>0</v>
      </c>
      <c r="B77" s="13" t="s">
        <v>475</v>
      </c>
      <c r="C77" s="13" t="s">
        <v>40</v>
      </c>
      <c r="D77" s="646">
        <f>D75/D76</f>
        <v>0</v>
      </c>
      <c r="E77" s="646">
        <f t="shared" ref="E77:O77" si="54">E75/E76</f>
        <v>0</v>
      </c>
      <c r="F77" s="646">
        <f t="shared" si="54"/>
        <v>0</v>
      </c>
      <c r="G77" s="646">
        <f t="shared" si="54"/>
        <v>0</v>
      </c>
      <c r="H77" s="646">
        <f t="shared" si="54"/>
        <v>0</v>
      </c>
      <c r="I77" s="646">
        <f t="shared" si="54"/>
        <v>0</v>
      </c>
      <c r="J77" s="646">
        <f t="shared" si="54"/>
        <v>0</v>
      </c>
      <c r="K77" s="646">
        <f t="shared" si="54"/>
        <v>0</v>
      </c>
      <c r="L77" s="646">
        <f t="shared" si="54"/>
        <v>0</v>
      </c>
      <c r="M77" s="646">
        <f t="shared" si="54"/>
        <v>0</v>
      </c>
      <c r="N77" s="646">
        <f t="shared" si="54"/>
        <v>0</v>
      </c>
      <c r="O77" s="646">
        <f t="shared" si="54"/>
        <v>0</v>
      </c>
    </row>
    <row r="78" spans="1:31" x14ac:dyDescent="0.2">
      <c r="A78" s="13"/>
      <c r="B78" s="13" t="s">
        <v>495</v>
      </c>
      <c r="C78" s="13" t="s">
        <v>40</v>
      </c>
      <c r="D78" s="651">
        <f>-Trnsf!D21</f>
        <v>0</v>
      </c>
      <c r="E78" s="651">
        <f>-Trnsf!E21</f>
        <v>0</v>
      </c>
      <c r="F78" s="651">
        <f>-Trnsf!F21</f>
        <v>0</v>
      </c>
      <c r="G78" s="651">
        <f>-Trnsf!G21</f>
        <v>0</v>
      </c>
      <c r="H78" s="651">
        <f>-Trnsf!H21</f>
        <v>0</v>
      </c>
      <c r="I78" s="651">
        <f>-Trnsf!I21</f>
        <v>0</v>
      </c>
      <c r="J78" s="651">
        <f>-Trnsf!J21</f>
        <v>0</v>
      </c>
      <c r="K78" s="651">
        <f>-Trnsf!K21</f>
        <v>0</v>
      </c>
      <c r="L78" s="651">
        <f>-Trnsf!L21</f>
        <v>0</v>
      </c>
      <c r="M78" s="651">
        <f>-Trnsf!M21</f>
        <v>0</v>
      </c>
      <c r="N78" s="651">
        <f>-Trnsf!N21</f>
        <v>0</v>
      </c>
      <c r="O78" s="651">
        <f>-Trnsf!O21</f>
        <v>0</v>
      </c>
    </row>
    <row r="79" spans="1:31" ht="13.5" thickBot="1" x14ac:dyDescent="0.25">
      <c r="A79" s="249" t="s">
        <v>466</v>
      </c>
      <c r="B79" s="645">
        <v>0</v>
      </c>
      <c r="C79" s="247" t="s">
        <v>87</v>
      </c>
      <c r="D79" s="247">
        <f>B79+D74-D77+D78</f>
        <v>0</v>
      </c>
      <c r="E79" s="247">
        <f>D79+E74-E77+E78</f>
        <v>0</v>
      </c>
      <c r="F79" s="247">
        <f t="shared" ref="F79:O79" si="55">E79+F74-F77+F78</f>
        <v>0</v>
      </c>
      <c r="G79" s="247">
        <f t="shared" si="55"/>
        <v>0</v>
      </c>
      <c r="H79" s="247">
        <f t="shared" si="55"/>
        <v>0</v>
      </c>
      <c r="I79" s="247">
        <f t="shared" si="55"/>
        <v>0</v>
      </c>
      <c r="J79" s="247">
        <f t="shared" si="55"/>
        <v>0</v>
      </c>
      <c r="K79" s="247">
        <f t="shared" si="55"/>
        <v>0</v>
      </c>
      <c r="L79" s="247">
        <f t="shared" si="55"/>
        <v>0</v>
      </c>
      <c r="M79" s="247">
        <f t="shared" si="55"/>
        <v>0</v>
      </c>
      <c r="N79" s="247">
        <f t="shared" si="55"/>
        <v>0</v>
      </c>
      <c r="O79" s="247">
        <f t="shared" si="55"/>
        <v>0</v>
      </c>
    </row>
    <row r="80" spans="1:31" ht="13.5" thickBot="1" x14ac:dyDescent="0.25">
      <c r="B80" s="3"/>
      <c r="C80" s="3"/>
      <c r="D80" s="3"/>
      <c r="E80" s="3"/>
      <c r="F80" s="3"/>
      <c r="G80" s="3"/>
      <c r="H80" s="3"/>
      <c r="I80" s="3"/>
      <c r="J80" s="3"/>
      <c r="K80" s="3"/>
      <c r="L80" s="3"/>
      <c r="M80" s="3"/>
      <c r="N80" s="3"/>
      <c r="O80" s="3"/>
    </row>
    <row r="81" spans="1:31" x14ac:dyDescent="0.2">
      <c r="A81" s="19" t="str">
        <f>'P2 Area'!P14</f>
        <v>Irr - Crop 3 (Sorgum)</v>
      </c>
      <c r="B81" s="19"/>
      <c r="C81" s="19"/>
      <c r="D81" s="19" t="str">
        <f>D71</f>
        <v>Mar</v>
      </c>
      <c r="E81" s="19" t="str">
        <f t="shared" ref="E81:O81" si="56">E71</f>
        <v>Apr</v>
      </c>
      <c r="F81" s="19" t="str">
        <f t="shared" si="56"/>
        <v>May</v>
      </c>
      <c r="G81" s="19" t="str">
        <f t="shared" si="56"/>
        <v>Jun</v>
      </c>
      <c r="H81" s="19" t="str">
        <f t="shared" si="56"/>
        <v>Jul</v>
      </c>
      <c r="I81" s="19" t="str">
        <f t="shared" si="56"/>
        <v>Aug</v>
      </c>
      <c r="J81" s="19" t="str">
        <f t="shared" si="56"/>
        <v>Sep</v>
      </c>
      <c r="K81" s="19" t="str">
        <f t="shared" si="56"/>
        <v>Oct</v>
      </c>
      <c r="L81" s="19" t="str">
        <f t="shared" si="56"/>
        <v>Nov</v>
      </c>
      <c r="M81" s="19" t="str">
        <f t="shared" si="56"/>
        <v>Dec</v>
      </c>
      <c r="N81" s="19" t="str">
        <f t="shared" si="56"/>
        <v>Jan</v>
      </c>
      <c r="O81" s="19" t="str">
        <f t="shared" si="56"/>
        <v>Feb</v>
      </c>
      <c r="R81" s="558" t="s">
        <v>365</v>
      </c>
      <c r="S81" s="559"/>
      <c r="T81" s="556" t="str">
        <f t="shared" ref="T81:AE81" si="57">D81</f>
        <v>Mar</v>
      </c>
      <c r="U81" s="19" t="str">
        <f t="shared" si="57"/>
        <v>Apr</v>
      </c>
      <c r="V81" s="19" t="str">
        <f t="shared" si="57"/>
        <v>May</v>
      </c>
      <c r="W81" s="19" t="str">
        <f t="shared" si="57"/>
        <v>Jun</v>
      </c>
      <c r="X81" s="19" t="str">
        <f t="shared" si="57"/>
        <v>Jul</v>
      </c>
      <c r="Y81" s="19" t="str">
        <f t="shared" si="57"/>
        <v>Aug</v>
      </c>
      <c r="Z81" s="19" t="str">
        <f t="shared" si="57"/>
        <v>Sep</v>
      </c>
      <c r="AA81" s="19" t="str">
        <f t="shared" si="57"/>
        <v>Oct</v>
      </c>
      <c r="AB81" s="19" t="str">
        <f t="shared" si="57"/>
        <v>Nov</v>
      </c>
      <c r="AC81" s="19" t="str">
        <f t="shared" si="57"/>
        <v>Dec</v>
      </c>
      <c r="AD81" s="19" t="str">
        <f t="shared" si="57"/>
        <v>Jan</v>
      </c>
      <c r="AE81" s="557" t="str">
        <f t="shared" si="57"/>
        <v>Feb</v>
      </c>
    </row>
    <row r="82" spans="1:31" x14ac:dyDescent="0.2">
      <c r="A82" s="15" t="s">
        <v>112</v>
      </c>
      <c r="B82" s="188" t="s">
        <v>90</v>
      </c>
      <c r="C82" s="189" t="s">
        <v>290</v>
      </c>
      <c r="D82" s="307"/>
      <c r="E82" s="307"/>
      <c r="F82" s="307"/>
      <c r="G82" s="307"/>
      <c r="H82" s="307"/>
      <c r="I82" s="307"/>
      <c r="J82" s="307"/>
      <c r="K82" s="307"/>
      <c r="L82" s="307"/>
      <c r="M82" s="307"/>
      <c r="N82" s="307"/>
      <c r="O82" s="308"/>
      <c r="R82" s="552" t="s">
        <v>370</v>
      </c>
      <c r="S82" s="560">
        <f>MAX(D83:O83)</f>
        <v>0</v>
      </c>
      <c r="T82" s="567"/>
      <c r="U82" s="568"/>
      <c r="V82" s="568"/>
      <c r="W82" s="568"/>
      <c r="X82" s="568"/>
      <c r="Y82" s="568"/>
      <c r="Z82" s="568"/>
      <c r="AA82" s="568"/>
      <c r="AB82" s="568"/>
      <c r="AC82" s="568"/>
      <c r="AD82" s="568"/>
      <c r="AE82" s="560"/>
    </row>
    <row r="83" spans="1:31" x14ac:dyDescent="0.2">
      <c r="A83" s="311"/>
      <c r="B83" s="244" t="s">
        <v>92</v>
      </c>
      <c r="C83" s="245" t="s">
        <v>22</v>
      </c>
      <c r="D83" s="635">
        <f>'P2 Area'!Q14</f>
        <v>0</v>
      </c>
      <c r="E83" s="635">
        <f>'P2 Area'!R14</f>
        <v>0</v>
      </c>
      <c r="F83" s="635">
        <f>'P2 Area'!S14</f>
        <v>0</v>
      </c>
      <c r="G83" s="635">
        <f>'P2 Area'!T14</f>
        <v>0</v>
      </c>
      <c r="H83" s="635">
        <f>'P2 Area'!U14</f>
        <v>0</v>
      </c>
      <c r="I83" s="635">
        <f>'P2 Area'!V14</f>
        <v>0</v>
      </c>
      <c r="J83" s="635">
        <f>'P2 Area'!W14</f>
        <v>0</v>
      </c>
      <c r="K83" s="635">
        <f>'P2 Area'!X14</f>
        <v>0</v>
      </c>
      <c r="L83" s="635">
        <f>'P2 Area'!Y14</f>
        <v>0</v>
      </c>
      <c r="M83" s="635">
        <f>'P2 Area'!Z14</f>
        <v>0</v>
      </c>
      <c r="N83" s="635">
        <f>'P2 Area'!AA14</f>
        <v>0</v>
      </c>
      <c r="O83" s="635">
        <f>'P2 Area'!AB14</f>
        <v>0</v>
      </c>
      <c r="R83" s="553" t="s">
        <v>369</v>
      </c>
      <c r="S83" s="566">
        <f>SUM(T83:AE83)</f>
        <v>1</v>
      </c>
      <c r="T83" s="563"/>
      <c r="U83" s="562"/>
      <c r="V83" s="562">
        <v>0.4</v>
      </c>
      <c r="W83" s="562">
        <v>0.2</v>
      </c>
      <c r="X83" s="562">
        <v>0.1</v>
      </c>
      <c r="Y83" s="562">
        <v>0.05</v>
      </c>
      <c r="Z83" s="562">
        <v>0.25</v>
      </c>
      <c r="AA83" s="562"/>
      <c r="AB83" s="562"/>
      <c r="AC83" s="562"/>
      <c r="AD83" s="562"/>
      <c r="AE83" s="564"/>
    </row>
    <row r="84" spans="1:31" ht="13.5" thickBot="1" x14ac:dyDescent="0.25">
      <c r="A84" s="13" t="e">
        <f>SUM(D84:O84)/MAX(D83:O83)</f>
        <v>#DIV/0!</v>
      </c>
      <c r="B84" s="13" t="s">
        <v>472</v>
      </c>
      <c r="C84" s="13" t="s">
        <v>40</v>
      </c>
      <c r="D84" s="646">
        <f>D82*D83</f>
        <v>0</v>
      </c>
      <c r="E84" s="646">
        <f t="shared" ref="E84:O84" si="58">E82*E83</f>
        <v>0</v>
      </c>
      <c r="F84" s="646">
        <f t="shared" si="58"/>
        <v>0</v>
      </c>
      <c r="G84" s="646">
        <f t="shared" si="58"/>
        <v>0</v>
      </c>
      <c r="H84" s="646">
        <f t="shared" si="58"/>
        <v>0</v>
      </c>
      <c r="I84" s="646">
        <f t="shared" si="58"/>
        <v>0</v>
      </c>
      <c r="J84" s="646">
        <f t="shared" si="58"/>
        <v>0</v>
      </c>
      <c r="K84" s="646">
        <f t="shared" si="58"/>
        <v>0</v>
      </c>
      <c r="L84" s="646">
        <f t="shared" si="58"/>
        <v>0</v>
      </c>
      <c r="M84" s="646">
        <f t="shared" si="58"/>
        <v>0</v>
      </c>
      <c r="N84" s="646">
        <f t="shared" si="58"/>
        <v>0</v>
      </c>
      <c r="O84" s="646">
        <f t="shared" si="58"/>
        <v>0</v>
      </c>
      <c r="R84" s="554" t="s">
        <v>371</v>
      </c>
      <c r="S84" s="2">
        <v>15000</v>
      </c>
      <c r="T84" s="565">
        <f>$S$85*T83</f>
        <v>0</v>
      </c>
      <c r="U84" s="247">
        <f t="shared" ref="U84:AE84" si="59">$S$85*U83</f>
        <v>0</v>
      </c>
      <c r="V84" s="247">
        <f t="shared" si="59"/>
        <v>0</v>
      </c>
      <c r="W84" s="247">
        <f t="shared" si="59"/>
        <v>0</v>
      </c>
      <c r="X84" s="247">
        <f t="shared" si="59"/>
        <v>0</v>
      </c>
      <c r="Y84" s="247">
        <f t="shared" si="59"/>
        <v>0</v>
      </c>
      <c r="Z84" s="247">
        <f t="shared" si="59"/>
        <v>0</v>
      </c>
      <c r="AA84" s="247">
        <f t="shared" si="59"/>
        <v>0</v>
      </c>
      <c r="AB84" s="247">
        <f t="shared" si="59"/>
        <v>0</v>
      </c>
      <c r="AC84" s="247">
        <f t="shared" si="59"/>
        <v>0</v>
      </c>
      <c r="AD84" s="247">
        <f t="shared" si="59"/>
        <v>0</v>
      </c>
      <c r="AE84" s="561">
        <f t="shared" si="59"/>
        <v>0</v>
      </c>
    </row>
    <row r="85" spans="1:31" ht="13.5" thickBot="1" x14ac:dyDescent="0.25">
      <c r="A85" s="13"/>
      <c r="B85" s="13" t="s">
        <v>473</v>
      </c>
      <c r="C85" s="13" t="s">
        <v>40</v>
      </c>
      <c r="D85" s="646">
        <f>'P2 Feeding'!D18</f>
        <v>0</v>
      </c>
      <c r="E85" s="646">
        <f>'P2 Feeding'!E18</f>
        <v>0</v>
      </c>
      <c r="F85" s="646">
        <f>'P2 Feeding'!F18</f>
        <v>0</v>
      </c>
      <c r="G85" s="646">
        <f>'P2 Feeding'!G18</f>
        <v>0</v>
      </c>
      <c r="H85" s="646">
        <f>'P2 Feeding'!H18</f>
        <v>0</v>
      </c>
      <c r="I85" s="646">
        <f>'P2 Feeding'!I18</f>
        <v>0</v>
      </c>
      <c r="J85" s="646">
        <f>'P2 Feeding'!J18</f>
        <v>0</v>
      </c>
      <c r="K85" s="646">
        <f>'P2 Feeding'!K18</f>
        <v>0</v>
      </c>
      <c r="L85" s="646">
        <f>'P2 Feeding'!L18</f>
        <v>0</v>
      </c>
      <c r="M85" s="646">
        <f>'P2 Feeding'!M18</f>
        <v>0</v>
      </c>
      <c r="N85" s="646">
        <f>'P2 Feeding'!N18</f>
        <v>0</v>
      </c>
      <c r="O85" s="646">
        <f>'P2 Feeding'!O18</f>
        <v>0</v>
      </c>
      <c r="R85" s="555" t="s">
        <v>366</v>
      </c>
      <c r="S85" s="561">
        <f>S84*S82</f>
        <v>0</v>
      </c>
    </row>
    <row r="86" spans="1:31" x14ac:dyDescent="0.2">
      <c r="A86" s="13"/>
      <c r="B86" s="13" t="s">
        <v>474</v>
      </c>
      <c r="C86" s="13" t="s">
        <v>41</v>
      </c>
      <c r="D86" s="310">
        <v>1</v>
      </c>
      <c r="E86" s="310">
        <f>D86</f>
        <v>1</v>
      </c>
      <c r="F86" s="310">
        <f t="shared" ref="F86:O86" si="60">E86</f>
        <v>1</v>
      </c>
      <c r="G86" s="310">
        <f t="shared" si="60"/>
        <v>1</v>
      </c>
      <c r="H86" s="310">
        <f t="shared" si="60"/>
        <v>1</v>
      </c>
      <c r="I86" s="310">
        <f t="shared" si="60"/>
        <v>1</v>
      </c>
      <c r="J86" s="310">
        <f t="shared" si="60"/>
        <v>1</v>
      </c>
      <c r="K86" s="310">
        <f t="shared" si="60"/>
        <v>1</v>
      </c>
      <c r="L86" s="310">
        <f t="shared" si="60"/>
        <v>1</v>
      </c>
      <c r="M86" s="310">
        <f t="shared" si="60"/>
        <v>1</v>
      </c>
      <c r="N86" s="310">
        <f t="shared" si="60"/>
        <v>1</v>
      </c>
      <c r="O86" s="310">
        <f t="shared" si="60"/>
        <v>1</v>
      </c>
    </row>
    <row r="87" spans="1:31" x14ac:dyDescent="0.2">
      <c r="A87" s="13">
        <f>MIN(D89:O89)</f>
        <v>0</v>
      </c>
      <c r="B87" s="13" t="s">
        <v>475</v>
      </c>
      <c r="C87" s="13" t="s">
        <v>40</v>
      </c>
      <c r="D87" s="646">
        <f>D85/D86</f>
        <v>0</v>
      </c>
      <c r="E87" s="646">
        <f t="shared" ref="E87:O87" si="61">E85/E86</f>
        <v>0</v>
      </c>
      <c r="F87" s="646">
        <f t="shared" si="61"/>
        <v>0</v>
      </c>
      <c r="G87" s="646">
        <f t="shared" si="61"/>
        <v>0</v>
      </c>
      <c r="H87" s="646">
        <f t="shared" si="61"/>
        <v>0</v>
      </c>
      <c r="I87" s="646">
        <f t="shared" si="61"/>
        <v>0</v>
      </c>
      <c r="J87" s="646">
        <f t="shared" si="61"/>
        <v>0</v>
      </c>
      <c r="K87" s="646">
        <f t="shared" si="61"/>
        <v>0</v>
      </c>
      <c r="L87" s="646">
        <f t="shared" si="61"/>
        <v>0</v>
      </c>
      <c r="M87" s="646">
        <f t="shared" si="61"/>
        <v>0</v>
      </c>
      <c r="N87" s="646">
        <f t="shared" si="61"/>
        <v>0</v>
      </c>
      <c r="O87" s="646">
        <f t="shared" si="61"/>
        <v>0</v>
      </c>
    </row>
    <row r="88" spans="1:31" x14ac:dyDescent="0.2">
      <c r="A88" s="13"/>
      <c r="B88" s="13" t="s">
        <v>495</v>
      </c>
      <c r="C88" s="13" t="s">
        <v>40</v>
      </c>
      <c r="D88" s="651">
        <f>-Trnsf!D22</f>
        <v>0</v>
      </c>
      <c r="E88" s="651">
        <f>-Trnsf!E22</f>
        <v>0</v>
      </c>
      <c r="F88" s="651">
        <f>-Trnsf!F22</f>
        <v>0</v>
      </c>
      <c r="G88" s="651">
        <f>-Trnsf!G22</f>
        <v>0</v>
      </c>
      <c r="H88" s="651">
        <f>-Trnsf!H22</f>
        <v>0</v>
      </c>
      <c r="I88" s="651">
        <f>-Trnsf!I22</f>
        <v>0</v>
      </c>
      <c r="J88" s="651">
        <f>-Trnsf!J22</f>
        <v>0</v>
      </c>
      <c r="K88" s="651">
        <f>-Trnsf!K22</f>
        <v>0</v>
      </c>
      <c r="L88" s="651">
        <f>-Trnsf!L22</f>
        <v>0</v>
      </c>
      <c r="M88" s="651">
        <f>-Trnsf!M22</f>
        <v>0</v>
      </c>
      <c r="N88" s="651">
        <f>-Trnsf!N22</f>
        <v>0</v>
      </c>
      <c r="O88" s="651">
        <f>-Trnsf!O22</f>
        <v>0</v>
      </c>
    </row>
    <row r="89" spans="1:31" ht="13.5" thickBot="1" x14ac:dyDescent="0.25">
      <c r="A89" s="249" t="s">
        <v>466</v>
      </c>
      <c r="B89" s="645">
        <v>0</v>
      </c>
      <c r="C89" s="247" t="s">
        <v>87</v>
      </c>
      <c r="D89" s="247">
        <f>B89+D84-D87+D88</f>
        <v>0</v>
      </c>
      <c r="E89" s="247">
        <f>D89+E84-E87+E88</f>
        <v>0</v>
      </c>
      <c r="F89" s="247">
        <f t="shared" ref="F89:O89" si="62">E89+F84-F87+F88</f>
        <v>0</v>
      </c>
      <c r="G89" s="247">
        <f t="shared" si="62"/>
        <v>0</v>
      </c>
      <c r="H89" s="247">
        <f t="shared" si="62"/>
        <v>0</v>
      </c>
      <c r="I89" s="247">
        <f t="shared" si="62"/>
        <v>0</v>
      </c>
      <c r="J89" s="247">
        <f t="shared" si="62"/>
        <v>0</v>
      </c>
      <c r="K89" s="247">
        <f t="shared" si="62"/>
        <v>0</v>
      </c>
      <c r="L89" s="247">
        <f t="shared" si="62"/>
        <v>0</v>
      </c>
      <c r="M89" s="247">
        <f t="shared" si="62"/>
        <v>0</v>
      </c>
      <c r="N89" s="247">
        <f t="shared" si="62"/>
        <v>0</v>
      </c>
      <c r="O89" s="247">
        <f t="shared" si="62"/>
        <v>0</v>
      </c>
    </row>
    <row r="90" spans="1:31" ht="13.5" thickBot="1" x14ac:dyDescent="0.25">
      <c r="B90" s="3"/>
      <c r="C90" s="3"/>
      <c r="D90" s="3"/>
      <c r="E90" s="3"/>
      <c r="F90" s="3"/>
      <c r="G90" s="3"/>
      <c r="H90" s="3"/>
      <c r="I90" s="3"/>
      <c r="J90" s="3"/>
      <c r="K90" s="3"/>
      <c r="L90" s="3"/>
      <c r="M90" s="3"/>
      <c r="N90" s="3"/>
      <c r="O90" s="3"/>
    </row>
    <row r="91" spans="1:31" x14ac:dyDescent="0.2">
      <c r="A91" s="19" t="str">
        <f>'P2 Area'!P15</f>
        <v>Dry - Crop 1</v>
      </c>
      <c r="B91" s="19"/>
      <c r="C91" s="19"/>
      <c r="D91" s="19" t="str">
        <f>D81</f>
        <v>Mar</v>
      </c>
      <c r="E91" s="19" t="str">
        <f t="shared" ref="E91:O91" si="63">E81</f>
        <v>Apr</v>
      </c>
      <c r="F91" s="19" t="str">
        <f t="shared" si="63"/>
        <v>May</v>
      </c>
      <c r="G91" s="19" t="str">
        <f t="shared" si="63"/>
        <v>Jun</v>
      </c>
      <c r="H91" s="19" t="str">
        <f t="shared" si="63"/>
        <v>Jul</v>
      </c>
      <c r="I91" s="19" t="str">
        <f t="shared" si="63"/>
        <v>Aug</v>
      </c>
      <c r="J91" s="19" t="str">
        <f t="shared" si="63"/>
        <v>Sep</v>
      </c>
      <c r="K91" s="19" t="str">
        <f t="shared" si="63"/>
        <v>Oct</v>
      </c>
      <c r="L91" s="19" t="str">
        <f t="shared" si="63"/>
        <v>Nov</v>
      </c>
      <c r="M91" s="19" t="str">
        <f t="shared" si="63"/>
        <v>Dec</v>
      </c>
      <c r="N91" s="19" t="str">
        <f t="shared" si="63"/>
        <v>Jan</v>
      </c>
      <c r="O91" s="19" t="str">
        <f t="shared" si="63"/>
        <v>Feb</v>
      </c>
      <c r="R91" s="558" t="s">
        <v>365</v>
      </c>
      <c r="S91" s="559"/>
      <c r="T91" s="556" t="str">
        <f t="shared" ref="T91:AE91" si="64">D91</f>
        <v>Mar</v>
      </c>
      <c r="U91" s="19" t="str">
        <f t="shared" si="64"/>
        <v>Apr</v>
      </c>
      <c r="V91" s="19" t="str">
        <f t="shared" si="64"/>
        <v>May</v>
      </c>
      <c r="W91" s="19" t="str">
        <f t="shared" si="64"/>
        <v>Jun</v>
      </c>
      <c r="X91" s="19" t="str">
        <f t="shared" si="64"/>
        <v>Jul</v>
      </c>
      <c r="Y91" s="19" t="str">
        <f t="shared" si="64"/>
        <v>Aug</v>
      </c>
      <c r="Z91" s="19" t="str">
        <f t="shared" si="64"/>
        <v>Sep</v>
      </c>
      <c r="AA91" s="19" t="str">
        <f t="shared" si="64"/>
        <v>Oct</v>
      </c>
      <c r="AB91" s="19" t="str">
        <f t="shared" si="64"/>
        <v>Nov</v>
      </c>
      <c r="AC91" s="19" t="str">
        <f t="shared" si="64"/>
        <v>Dec</v>
      </c>
      <c r="AD91" s="19" t="str">
        <f t="shared" si="64"/>
        <v>Jan</v>
      </c>
      <c r="AE91" s="557" t="str">
        <f t="shared" si="64"/>
        <v>Feb</v>
      </c>
    </row>
    <row r="92" spans="1:31" x14ac:dyDescent="0.2">
      <c r="A92" s="15" t="s">
        <v>112</v>
      </c>
      <c r="B92" s="188" t="s">
        <v>90</v>
      </c>
      <c r="C92" s="189" t="s">
        <v>290</v>
      </c>
      <c r="D92" s="307"/>
      <c r="E92" s="307"/>
      <c r="F92" s="307"/>
      <c r="G92" s="307"/>
      <c r="H92" s="307"/>
      <c r="I92" s="307"/>
      <c r="J92" s="307"/>
      <c r="K92" s="307"/>
      <c r="L92" s="307"/>
      <c r="M92" s="307"/>
      <c r="N92" s="307"/>
      <c r="O92" s="308"/>
      <c r="R92" s="552" t="s">
        <v>370</v>
      </c>
      <c r="S92" s="560">
        <f>MAX(D93:O93)</f>
        <v>0</v>
      </c>
      <c r="T92" s="567"/>
      <c r="U92" s="568"/>
      <c r="V92" s="568"/>
      <c r="W92" s="568"/>
      <c r="X92" s="568"/>
      <c r="Y92" s="568"/>
      <c r="Z92" s="568"/>
      <c r="AA92" s="568"/>
      <c r="AB92" s="568"/>
      <c r="AC92" s="568"/>
      <c r="AD92" s="568"/>
      <c r="AE92" s="560"/>
    </row>
    <row r="93" spans="1:31" x14ac:dyDescent="0.2">
      <c r="A93" s="311"/>
      <c r="B93" s="244" t="s">
        <v>92</v>
      </c>
      <c r="C93" s="245" t="s">
        <v>22</v>
      </c>
      <c r="D93" s="635">
        <f>'P2 Area'!Q15</f>
        <v>0</v>
      </c>
      <c r="E93" s="635">
        <f>'P2 Area'!R15</f>
        <v>0</v>
      </c>
      <c r="F93" s="635">
        <f>'P2 Area'!S15</f>
        <v>0</v>
      </c>
      <c r="G93" s="635">
        <f>'P2 Area'!T15</f>
        <v>0</v>
      </c>
      <c r="H93" s="635">
        <f>'P2 Area'!U15</f>
        <v>0</v>
      </c>
      <c r="I93" s="635">
        <f>'P2 Area'!V15</f>
        <v>0</v>
      </c>
      <c r="J93" s="635">
        <f>'P2 Area'!W15</f>
        <v>0</v>
      </c>
      <c r="K93" s="635">
        <f>'P2 Area'!X15</f>
        <v>0</v>
      </c>
      <c r="L93" s="635">
        <f>'P2 Area'!Y15</f>
        <v>0</v>
      </c>
      <c r="M93" s="635">
        <f>'P2 Area'!Z15</f>
        <v>0</v>
      </c>
      <c r="N93" s="635">
        <f>'P2 Area'!AA15</f>
        <v>0</v>
      </c>
      <c r="O93" s="635">
        <f>'P2 Area'!AB15</f>
        <v>0</v>
      </c>
      <c r="R93" s="553" t="s">
        <v>369</v>
      </c>
      <c r="S93" s="566">
        <f>SUM(T93:AE93)</f>
        <v>0</v>
      </c>
      <c r="T93" s="563"/>
      <c r="U93" s="562"/>
      <c r="V93" s="562"/>
      <c r="W93" s="562"/>
      <c r="X93" s="562"/>
      <c r="Y93" s="562"/>
      <c r="Z93" s="562"/>
      <c r="AA93" s="562"/>
      <c r="AB93" s="562"/>
      <c r="AC93" s="562"/>
      <c r="AD93" s="562"/>
      <c r="AE93" s="564"/>
    </row>
    <row r="94" spans="1:31" ht="13.5" thickBot="1" x14ac:dyDescent="0.25">
      <c r="A94" s="13" t="e">
        <f>SUM(D94:O94)/MAX(D93:O93)</f>
        <v>#DIV/0!</v>
      </c>
      <c r="B94" s="13" t="s">
        <v>472</v>
      </c>
      <c r="C94" s="13" t="s">
        <v>40</v>
      </c>
      <c r="D94" s="646">
        <f>D92*D93</f>
        <v>0</v>
      </c>
      <c r="E94" s="646">
        <f t="shared" ref="E94:O94" si="65">E92*E93</f>
        <v>0</v>
      </c>
      <c r="F94" s="646">
        <f t="shared" si="65"/>
        <v>0</v>
      </c>
      <c r="G94" s="646">
        <f t="shared" si="65"/>
        <v>0</v>
      </c>
      <c r="H94" s="646">
        <f t="shared" si="65"/>
        <v>0</v>
      </c>
      <c r="I94" s="646">
        <f t="shared" si="65"/>
        <v>0</v>
      </c>
      <c r="J94" s="646">
        <f t="shared" si="65"/>
        <v>0</v>
      </c>
      <c r="K94" s="646">
        <f t="shared" si="65"/>
        <v>0</v>
      </c>
      <c r="L94" s="646">
        <f t="shared" si="65"/>
        <v>0</v>
      </c>
      <c r="M94" s="646">
        <f t="shared" si="65"/>
        <v>0</v>
      </c>
      <c r="N94" s="646">
        <f t="shared" si="65"/>
        <v>0</v>
      </c>
      <c r="O94" s="646">
        <f t="shared" si="65"/>
        <v>0</v>
      </c>
      <c r="R94" s="554" t="s">
        <v>371</v>
      </c>
      <c r="S94" s="2">
        <v>10000</v>
      </c>
      <c r="T94" s="565">
        <f>$S$95*T93</f>
        <v>0</v>
      </c>
      <c r="U94" s="247">
        <f t="shared" ref="U94:AE94" si="66">$S$95*U93</f>
        <v>0</v>
      </c>
      <c r="V94" s="247">
        <f t="shared" si="66"/>
        <v>0</v>
      </c>
      <c r="W94" s="247">
        <f t="shared" si="66"/>
        <v>0</v>
      </c>
      <c r="X94" s="247">
        <f t="shared" si="66"/>
        <v>0</v>
      </c>
      <c r="Y94" s="247">
        <f t="shared" si="66"/>
        <v>0</v>
      </c>
      <c r="Z94" s="247">
        <f t="shared" si="66"/>
        <v>0</v>
      </c>
      <c r="AA94" s="247">
        <f t="shared" si="66"/>
        <v>0</v>
      </c>
      <c r="AB94" s="247">
        <f t="shared" si="66"/>
        <v>0</v>
      </c>
      <c r="AC94" s="247">
        <f t="shared" si="66"/>
        <v>0</v>
      </c>
      <c r="AD94" s="247">
        <f t="shared" si="66"/>
        <v>0</v>
      </c>
      <c r="AE94" s="561">
        <f t="shared" si="66"/>
        <v>0</v>
      </c>
    </row>
    <row r="95" spans="1:31" ht="13.5" thickBot="1" x14ac:dyDescent="0.25">
      <c r="A95" s="13"/>
      <c r="B95" s="13" t="s">
        <v>473</v>
      </c>
      <c r="C95" s="13" t="s">
        <v>40</v>
      </c>
      <c r="D95" s="646">
        <f>'P2 Feeding'!D19</f>
        <v>0</v>
      </c>
      <c r="E95" s="646">
        <f>'P2 Feeding'!E19</f>
        <v>0</v>
      </c>
      <c r="F95" s="646">
        <f>'P2 Feeding'!F19</f>
        <v>0</v>
      </c>
      <c r="G95" s="646">
        <f>'P2 Feeding'!G19</f>
        <v>0</v>
      </c>
      <c r="H95" s="646">
        <f>'P2 Feeding'!H19</f>
        <v>0</v>
      </c>
      <c r="I95" s="646">
        <f>'P2 Feeding'!I19</f>
        <v>0</v>
      </c>
      <c r="J95" s="646">
        <f>'P2 Feeding'!J19</f>
        <v>0</v>
      </c>
      <c r="K95" s="646">
        <f>'P2 Feeding'!K19</f>
        <v>0</v>
      </c>
      <c r="L95" s="646">
        <f>'P2 Feeding'!L19</f>
        <v>0</v>
      </c>
      <c r="M95" s="646">
        <f>'P2 Feeding'!M19</f>
        <v>0</v>
      </c>
      <c r="N95" s="646">
        <f>'P2 Feeding'!N19</f>
        <v>0</v>
      </c>
      <c r="O95" s="646">
        <f>'P2 Feeding'!O19</f>
        <v>0</v>
      </c>
      <c r="R95" s="555" t="s">
        <v>366</v>
      </c>
      <c r="S95" s="561">
        <f>S94*S92</f>
        <v>0</v>
      </c>
    </row>
    <row r="96" spans="1:31" x14ac:dyDescent="0.2">
      <c r="A96" s="13"/>
      <c r="B96" s="13" t="s">
        <v>474</v>
      </c>
      <c r="C96" s="13" t="s">
        <v>41</v>
      </c>
      <c r="D96" s="310">
        <v>1</v>
      </c>
      <c r="E96" s="310">
        <f>D96</f>
        <v>1</v>
      </c>
      <c r="F96" s="310">
        <f t="shared" ref="F96:O96" si="67">E96</f>
        <v>1</v>
      </c>
      <c r="G96" s="310">
        <f t="shared" si="67"/>
        <v>1</v>
      </c>
      <c r="H96" s="310">
        <f t="shared" si="67"/>
        <v>1</v>
      </c>
      <c r="I96" s="310">
        <f t="shared" si="67"/>
        <v>1</v>
      </c>
      <c r="J96" s="310">
        <f t="shared" si="67"/>
        <v>1</v>
      </c>
      <c r="K96" s="310">
        <f t="shared" si="67"/>
        <v>1</v>
      </c>
      <c r="L96" s="310">
        <f t="shared" si="67"/>
        <v>1</v>
      </c>
      <c r="M96" s="310">
        <f t="shared" si="67"/>
        <v>1</v>
      </c>
      <c r="N96" s="310">
        <f t="shared" si="67"/>
        <v>1</v>
      </c>
      <c r="O96" s="310">
        <f t="shared" si="67"/>
        <v>1</v>
      </c>
    </row>
    <row r="97" spans="1:31" x14ac:dyDescent="0.2">
      <c r="A97" s="13">
        <f>MIN(D98:O98)</f>
        <v>0</v>
      </c>
      <c r="B97" s="13" t="s">
        <v>475</v>
      </c>
      <c r="C97" s="13" t="s">
        <v>40</v>
      </c>
      <c r="D97" s="646">
        <f>D95/D96</f>
        <v>0</v>
      </c>
      <c r="E97" s="646">
        <f t="shared" ref="E97:O97" si="68">E95/E96</f>
        <v>0</v>
      </c>
      <c r="F97" s="646">
        <f t="shared" si="68"/>
        <v>0</v>
      </c>
      <c r="G97" s="646">
        <f t="shared" si="68"/>
        <v>0</v>
      </c>
      <c r="H97" s="646">
        <f t="shared" si="68"/>
        <v>0</v>
      </c>
      <c r="I97" s="646">
        <f t="shared" si="68"/>
        <v>0</v>
      </c>
      <c r="J97" s="646">
        <f t="shared" si="68"/>
        <v>0</v>
      </c>
      <c r="K97" s="646">
        <f t="shared" si="68"/>
        <v>0</v>
      </c>
      <c r="L97" s="646">
        <f t="shared" si="68"/>
        <v>0</v>
      </c>
      <c r="M97" s="646">
        <f t="shared" si="68"/>
        <v>0</v>
      </c>
      <c r="N97" s="646">
        <f t="shared" si="68"/>
        <v>0</v>
      </c>
      <c r="O97" s="646">
        <f t="shared" si="68"/>
        <v>0</v>
      </c>
    </row>
    <row r="98" spans="1:31" ht="13.5" thickBot="1" x14ac:dyDescent="0.25">
      <c r="A98" s="249" t="s">
        <v>466</v>
      </c>
      <c r="B98" s="645">
        <v>0</v>
      </c>
      <c r="C98" s="247" t="s">
        <v>87</v>
      </c>
      <c r="D98" s="247">
        <f>B98+D94-D97</f>
        <v>0</v>
      </c>
      <c r="E98" s="247">
        <f t="shared" ref="E98:O98" si="69">D98+E94-E97</f>
        <v>0</v>
      </c>
      <c r="F98" s="247">
        <f t="shared" si="69"/>
        <v>0</v>
      </c>
      <c r="G98" s="247">
        <f t="shared" si="69"/>
        <v>0</v>
      </c>
      <c r="H98" s="247">
        <f t="shared" si="69"/>
        <v>0</v>
      </c>
      <c r="I98" s="247">
        <f t="shared" si="69"/>
        <v>0</v>
      </c>
      <c r="J98" s="247">
        <f t="shared" si="69"/>
        <v>0</v>
      </c>
      <c r="K98" s="247">
        <f t="shared" si="69"/>
        <v>0</v>
      </c>
      <c r="L98" s="247">
        <f t="shared" si="69"/>
        <v>0</v>
      </c>
      <c r="M98" s="247">
        <f t="shared" si="69"/>
        <v>0</v>
      </c>
      <c r="N98" s="247">
        <f t="shared" si="69"/>
        <v>0</v>
      </c>
      <c r="O98" s="247">
        <f t="shared" si="69"/>
        <v>0</v>
      </c>
    </row>
    <row r="99" spans="1:31" ht="13.5" thickBot="1" x14ac:dyDescent="0.25">
      <c r="B99" s="3"/>
      <c r="C99" s="3"/>
      <c r="D99" s="3"/>
      <c r="E99" s="3"/>
      <c r="F99" s="3"/>
      <c r="G99" s="3"/>
      <c r="H99" s="3"/>
      <c r="I99" s="3"/>
      <c r="J99" s="3"/>
      <c r="K99" s="3"/>
      <c r="L99" s="3"/>
      <c r="M99" s="3"/>
      <c r="N99" s="3"/>
      <c r="O99" s="3"/>
    </row>
    <row r="100" spans="1:31" x14ac:dyDescent="0.2">
      <c r="A100" s="19" t="str">
        <f>'P2 Area'!P16</f>
        <v>Dry - Crop 2</v>
      </c>
      <c r="B100" s="19"/>
      <c r="C100" s="19"/>
      <c r="D100" s="19" t="str">
        <f>D91</f>
        <v>Mar</v>
      </c>
      <c r="E100" s="19" t="str">
        <f t="shared" ref="E100:O100" si="70">E91</f>
        <v>Apr</v>
      </c>
      <c r="F100" s="19" t="str">
        <f t="shared" si="70"/>
        <v>May</v>
      </c>
      <c r="G100" s="19" t="str">
        <f t="shared" si="70"/>
        <v>Jun</v>
      </c>
      <c r="H100" s="19" t="str">
        <f t="shared" si="70"/>
        <v>Jul</v>
      </c>
      <c r="I100" s="19" t="str">
        <f t="shared" si="70"/>
        <v>Aug</v>
      </c>
      <c r="J100" s="19" t="str">
        <f t="shared" si="70"/>
        <v>Sep</v>
      </c>
      <c r="K100" s="19" t="str">
        <f t="shared" si="70"/>
        <v>Oct</v>
      </c>
      <c r="L100" s="19" t="str">
        <f t="shared" si="70"/>
        <v>Nov</v>
      </c>
      <c r="M100" s="19" t="str">
        <f t="shared" si="70"/>
        <v>Dec</v>
      </c>
      <c r="N100" s="19" t="str">
        <f t="shared" si="70"/>
        <v>Jan</v>
      </c>
      <c r="O100" s="19" t="str">
        <f t="shared" si="70"/>
        <v>Feb</v>
      </c>
      <c r="R100" s="558" t="s">
        <v>365</v>
      </c>
      <c r="S100" s="559"/>
      <c r="T100" s="556" t="str">
        <f t="shared" ref="T100:AE100" si="71">D100</f>
        <v>Mar</v>
      </c>
      <c r="U100" s="19" t="str">
        <f t="shared" si="71"/>
        <v>Apr</v>
      </c>
      <c r="V100" s="19" t="str">
        <f t="shared" si="71"/>
        <v>May</v>
      </c>
      <c r="W100" s="19" t="str">
        <f t="shared" si="71"/>
        <v>Jun</v>
      </c>
      <c r="X100" s="19" t="str">
        <f t="shared" si="71"/>
        <v>Jul</v>
      </c>
      <c r="Y100" s="19" t="str">
        <f t="shared" si="71"/>
        <v>Aug</v>
      </c>
      <c r="Z100" s="19" t="str">
        <f t="shared" si="71"/>
        <v>Sep</v>
      </c>
      <c r="AA100" s="19" t="str">
        <f t="shared" si="71"/>
        <v>Oct</v>
      </c>
      <c r="AB100" s="19" t="str">
        <f t="shared" si="71"/>
        <v>Nov</v>
      </c>
      <c r="AC100" s="19" t="str">
        <f t="shared" si="71"/>
        <v>Dec</v>
      </c>
      <c r="AD100" s="19" t="str">
        <f t="shared" si="71"/>
        <v>Jan</v>
      </c>
      <c r="AE100" s="557" t="str">
        <f t="shared" si="71"/>
        <v>Feb</v>
      </c>
    </row>
    <row r="101" spans="1:31" x14ac:dyDescent="0.2">
      <c r="A101" s="15" t="s">
        <v>112</v>
      </c>
      <c r="B101" s="188" t="s">
        <v>90</v>
      </c>
      <c r="C101" s="189" t="s">
        <v>290</v>
      </c>
      <c r="D101" s="307"/>
      <c r="E101" s="307"/>
      <c r="F101" s="307"/>
      <c r="G101" s="307"/>
      <c r="H101" s="307"/>
      <c r="I101" s="307"/>
      <c r="J101" s="307"/>
      <c r="K101" s="307"/>
      <c r="L101" s="307"/>
      <c r="M101" s="307"/>
      <c r="N101" s="307"/>
      <c r="O101" s="308"/>
      <c r="R101" s="552" t="s">
        <v>370</v>
      </c>
      <c r="S101" s="560">
        <f>MAX(D102:O102)</f>
        <v>0</v>
      </c>
      <c r="T101" s="567"/>
      <c r="U101" s="568"/>
      <c r="V101" s="568"/>
      <c r="W101" s="568"/>
      <c r="X101" s="568"/>
      <c r="Y101" s="568"/>
      <c r="Z101" s="568"/>
      <c r="AA101" s="568"/>
      <c r="AB101" s="568"/>
      <c r="AC101" s="568"/>
      <c r="AD101" s="568"/>
      <c r="AE101" s="560"/>
    </row>
    <row r="102" spans="1:31" x14ac:dyDescent="0.2">
      <c r="A102" s="311"/>
      <c r="B102" s="244" t="s">
        <v>92</v>
      </c>
      <c r="C102" s="245" t="s">
        <v>22</v>
      </c>
      <c r="D102" s="635">
        <f>'P2 Area'!Q16</f>
        <v>0</v>
      </c>
      <c r="E102" s="635">
        <f>'P2 Area'!R16</f>
        <v>0</v>
      </c>
      <c r="F102" s="635">
        <f>'P2 Area'!S16</f>
        <v>0</v>
      </c>
      <c r="G102" s="635">
        <f>'P2 Area'!T16</f>
        <v>0</v>
      </c>
      <c r="H102" s="635">
        <f>'P2 Area'!U16</f>
        <v>0</v>
      </c>
      <c r="I102" s="635">
        <f>'P2 Area'!V16</f>
        <v>0</v>
      </c>
      <c r="J102" s="635">
        <f>'P2 Area'!W16</f>
        <v>0</v>
      </c>
      <c r="K102" s="635">
        <f>'P2 Area'!X16</f>
        <v>0</v>
      </c>
      <c r="L102" s="635">
        <f>'P2 Area'!Y16</f>
        <v>0</v>
      </c>
      <c r="M102" s="635">
        <f>'P2 Area'!Z16</f>
        <v>0</v>
      </c>
      <c r="N102" s="635">
        <f>'P2 Area'!AA16</f>
        <v>0</v>
      </c>
      <c r="O102" s="635">
        <f>'P2 Area'!AB16</f>
        <v>0</v>
      </c>
      <c r="R102" s="553" t="s">
        <v>369</v>
      </c>
      <c r="S102" s="566">
        <f>SUM(T102:AE102)</f>
        <v>0</v>
      </c>
      <c r="T102" s="563"/>
      <c r="U102" s="562"/>
      <c r="V102" s="562"/>
      <c r="W102" s="562"/>
      <c r="X102" s="562"/>
      <c r="Y102" s="562"/>
      <c r="Z102" s="562"/>
      <c r="AA102" s="562"/>
      <c r="AB102" s="562"/>
      <c r="AC102" s="562"/>
      <c r="AD102" s="562"/>
      <c r="AE102" s="564"/>
    </row>
    <row r="103" spans="1:31" ht="13.5" thickBot="1" x14ac:dyDescent="0.25">
      <c r="A103" s="13" t="e">
        <f>SUM(D103:O103)/MAX(D102:O102)</f>
        <v>#DIV/0!</v>
      </c>
      <c r="B103" s="13" t="s">
        <v>472</v>
      </c>
      <c r="C103" s="13" t="s">
        <v>40</v>
      </c>
      <c r="D103" s="646">
        <f>D101*D102</f>
        <v>0</v>
      </c>
      <c r="E103" s="646">
        <f t="shared" ref="E103:O103" si="72">E101*E102</f>
        <v>0</v>
      </c>
      <c r="F103" s="646">
        <f t="shared" si="72"/>
        <v>0</v>
      </c>
      <c r="G103" s="646">
        <f t="shared" si="72"/>
        <v>0</v>
      </c>
      <c r="H103" s="646">
        <f t="shared" si="72"/>
        <v>0</v>
      </c>
      <c r="I103" s="646">
        <f t="shared" si="72"/>
        <v>0</v>
      </c>
      <c r="J103" s="646">
        <f t="shared" si="72"/>
        <v>0</v>
      </c>
      <c r="K103" s="646">
        <f t="shared" si="72"/>
        <v>0</v>
      </c>
      <c r="L103" s="646">
        <f t="shared" si="72"/>
        <v>0</v>
      </c>
      <c r="M103" s="646">
        <f t="shared" si="72"/>
        <v>0</v>
      </c>
      <c r="N103" s="646">
        <f t="shared" si="72"/>
        <v>0</v>
      </c>
      <c r="O103" s="646">
        <f t="shared" si="72"/>
        <v>0</v>
      </c>
      <c r="R103" s="554" t="s">
        <v>371</v>
      </c>
      <c r="S103" s="2">
        <v>10000</v>
      </c>
      <c r="T103" s="565">
        <f>$S$104*T102</f>
        <v>0</v>
      </c>
      <c r="U103" s="247">
        <f t="shared" ref="U103:AE103" si="73">$S$104*U102</f>
        <v>0</v>
      </c>
      <c r="V103" s="247">
        <f t="shared" si="73"/>
        <v>0</v>
      </c>
      <c r="W103" s="247">
        <f t="shared" si="73"/>
        <v>0</v>
      </c>
      <c r="X103" s="247">
        <f t="shared" si="73"/>
        <v>0</v>
      </c>
      <c r="Y103" s="247">
        <f t="shared" si="73"/>
        <v>0</v>
      </c>
      <c r="Z103" s="247">
        <f t="shared" si="73"/>
        <v>0</v>
      </c>
      <c r="AA103" s="247">
        <f t="shared" si="73"/>
        <v>0</v>
      </c>
      <c r="AB103" s="247">
        <f t="shared" si="73"/>
        <v>0</v>
      </c>
      <c r="AC103" s="247">
        <f t="shared" si="73"/>
        <v>0</v>
      </c>
      <c r="AD103" s="247">
        <f t="shared" si="73"/>
        <v>0</v>
      </c>
      <c r="AE103" s="561">
        <f t="shared" si="73"/>
        <v>0</v>
      </c>
    </row>
    <row r="104" spans="1:31" ht="13.5" thickBot="1" x14ac:dyDescent="0.25">
      <c r="A104" s="13"/>
      <c r="B104" s="13" t="s">
        <v>473</v>
      </c>
      <c r="C104" s="13" t="s">
        <v>40</v>
      </c>
      <c r="D104" s="646">
        <f>'P2 Feeding'!D20</f>
        <v>0</v>
      </c>
      <c r="E104" s="646">
        <f>'P2 Feeding'!E20</f>
        <v>0</v>
      </c>
      <c r="F104" s="646">
        <f>'P2 Feeding'!F20</f>
        <v>0</v>
      </c>
      <c r="G104" s="646">
        <f>'P2 Feeding'!G20</f>
        <v>0</v>
      </c>
      <c r="H104" s="646">
        <f>'P2 Feeding'!H20</f>
        <v>0</v>
      </c>
      <c r="I104" s="646">
        <f>'P2 Feeding'!I20</f>
        <v>0</v>
      </c>
      <c r="J104" s="646">
        <f>'P2 Feeding'!J20</f>
        <v>0</v>
      </c>
      <c r="K104" s="646">
        <f>'P2 Feeding'!K20</f>
        <v>0</v>
      </c>
      <c r="L104" s="646">
        <f>'P2 Feeding'!L20</f>
        <v>0</v>
      </c>
      <c r="M104" s="646">
        <f>'P2 Feeding'!M20</f>
        <v>0</v>
      </c>
      <c r="N104" s="646">
        <f>'P2 Feeding'!N20</f>
        <v>0</v>
      </c>
      <c r="O104" s="646">
        <f>'P2 Feeding'!O20</f>
        <v>0</v>
      </c>
      <c r="R104" s="555" t="s">
        <v>366</v>
      </c>
      <c r="S104" s="561">
        <f>S103*S101</f>
        <v>0</v>
      </c>
    </row>
    <row r="105" spans="1:31" x14ac:dyDescent="0.2">
      <c r="A105" s="13"/>
      <c r="B105" s="13" t="s">
        <v>474</v>
      </c>
      <c r="C105" s="13" t="s">
        <v>41</v>
      </c>
      <c r="D105" s="310">
        <v>1</v>
      </c>
      <c r="E105" s="310">
        <f>D105</f>
        <v>1</v>
      </c>
      <c r="F105" s="310">
        <f t="shared" ref="F105:O105" si="74">E105</f>
        <v>1</v>
      </c>
      <c r="G105" s="310">
        <f t="shared" si="74"/>
        <v>1</v>
      </c>
      <c r="H105" s="310">
        <f t="shared" si="74"/>
        <v>1</v>
      </c>
      <c r="I105" s="310">
        <f t="shared" si="74"/>
        <v>1</v>
      </c>
      <c r="J105" s="310">
        <f t="shared" si="74"/>
        <v>1</v>
      </c>
      <c r="K105" s="310">
        <f t="shared" si="74"/>
        <v>1</v>
      </c>
      <c r="L105" s="310">
        <f t="shared" si="74"/>
        <v>1</v>
      </c>
      <c r="M105" s="310">
        <f t="shared" si="74"/>
        <v>1</v>
      </c>
      <c r="N105" s="310">
        <f t="shared" si="74"/>
        <v>1</v>
      </c>
      <c r="O105" s="310">
        <f t="shared" si="74"/>
        <v>1</v>
      </c>
    </row>
    <row r="106" spans="1:31" x14ac:dyDescent="0.2">
      <c r="A106" s="13">
        <f>MIN(D107:O107)</f>
        <v>0</v>
      </c>
      <c r="B106" s="13" t="s">
        <v>475</v>
      </c>
      <c r="C106" s="13" t="s">
        <v>40</v>
      </c>
      <c r="D106" s="646">
        <f>D104/D105</f>
        <v>0</v>
      </c>
      <c r="E106" s="646">
        <f t="shared" ref="E106:O106" si="75">E104/E105</f>
        <v>0</v>
      </c>
      <c r="F106" s="646">
        <f t="shared" si="75"/>
        <v>0</v>
      </c>
      <c r="G106" s="646">
        <f t="shared" si="75"/>
        <v>0</v>
      </c>
      <c r="H106" s="646">
        <f t="shared" si="75"/>
        <v>0</v>
      </c>
      <c r="I106" s="646">
        <f t="shared" si="75"/>
        <v>0</v>
      </c>
      <c r="J106" s="646">
        <f t="shared" si="75"/>
        <v>0</v>
      </c>
      <c r="K106" s="646">
        <f t="shared" si="75"/>
        <v>0</v>
      </c>
      <c r="L106" s="646">
        <f t="shared" si="75"/>
        <v>0</v>
      </c>
      <c r="M106" s="646">
        <f t="shared" si="75"/>
        <v>0</v>
      </c>
      <c r="N106" s="646">
        <f t="shared" si="75"/>
        <v>0</v>
      </c>
      <c r="O106" s="646">
        <f t="shared" si="75"/>
        <v>0</v>
      </c>
    </row>
    <row r="107" spans="1:31" ht="13.5" thickBot="1" x14ac:dyDescent="0.25">
      <c r="A107" s="249" t="s">
        <v>466</v>
      </c>
      <c r="B107" s="645">
        <v>0</v>
      </c>
      <c r="C107" s="247" t="s">
        <v>87</v>
      </c>
      <c r="D107" s="247">
        <f>B107+D103-D106</f>
        <v>0</v>
      </c>
      <c r="E107" s="247">
        <f t="shared" ref="E107:O107" si="76">D107+E103-E106</f>
        <v>0</v>
      </c>
      <c r="F107" s="247">
        <f t="shared" si="76"/>
        <v>0</v>
      </c>
      <c r="G107" s="247">
        <f t="shared" si="76"/>
        <v>0</v>
      </c>
      <c r="H107" s="247">
        <f t="shared" si="76"/>
        <v>0</v>
      </c>
      <c r="I107" s="247">
        <f t="shared" si="76"/>
        <v>0</v>
      </c>
      <c r="J107" s="247">
        <f t="shared" si="76"/>
        <v>0</v>
      </c>
      <c r="K107" s="247">
        <f t="shared" si="76"/>
        <v>0</v>
      </c>
      <c r="L107" s="247">
        <f t="shared" si="76"/>
        <v>0</v>
      </c>
      <c r="M107" s="247">
        <f t="shared" si="76"/>
        <v>0</v>
      </c>
      <c r="N107" s="247">
        <f t="shared" si="76"/>
        <v>0</v>
      </c>
      <c r="O107" s="247">
        <f t="shared" si="76"/>
        <v>0</v>
      </c>
    </row>
    <row r="108" spans="1:31" ht="13.5" thickBot="1" x14ac:dyDescent="0.25">
      <c r="B108" s="3"/>
      <c r="C108" s="3"/>
      <c r="D108" s="3"/>
      <c r="E108" s="3"/>
      <c r="F108" s="3"/>
      <c r="G108" s="3"/>
      <c r="H108" s="3"/>
      <c r="I108" s="3"/>
      <c r="J108" s="3"/>
      <c r="K108" s="3"/>
      <c r="L108" s="3"/>
      <c r="M108" s="3"/>
      <c r="N108" s="3"/>
      <c r="O108" s="3"/>
    </row>
    <row r="109" spans="1:31" x14ac:dyDescent="0.2">
      <c r="A109" s="19" t="str">
        <f>'P2 Area'!P17</f>
        <v>Dry - Crop 3</v>
      </c>
      <c r="B109" s="19"/>
      <c r="C109" s="19"/>
      <c r="D109" s="19" t="str">
        <f>D100</f>
        <v>Mar</v>
      </c>
      <c r="E109" s="19" t="str">
        <f t="shared" ref="E109:O109" si="77">E100</f>
        <v>Apr</v>
      </c>
      <c r="F109" s="19" t="str">
        <f t="shared" si="77"/>
        <v>May</v>
      </c>
      <c r="G109" s="19" t="str">
        <f t="shared" si="77"/>
        <v>Jun</v>
      </c>
      <c r="H109" s="19" t="str">
        <f t="shared" si="77"/>
        <v>Jul</v>
      </c>
      <c r="I109" s="19" t="str">
        <f t="shared" si="77"/>
        <v>Aug</v>
      </c>
      <c r="J109" s="19" t="str">
        <f t="shared" si="77"/>
        <v>Sep</v>
      </c>
      <c r="K109" s="19" t="str">
        <f t="shared" si="77"/>
        <v>Oct</v>
      </c>
      <c r="L109" s="19" t="str">
        <f t="shared" si="77"/>
        <v>Nov</v>
      </c>
      <c r="M109" s="19" t="str">
        <f t="shared" si="77"/>
        <v>Dec</v>
      </c>
      <c r="N109" s="19" t="str">
        <f t="shared" si="77"/>
        <v>Jan</v>
      </c>
      <c r="O109" s="19" t="str">
        <f t="shared" si="77"/>
        <v>Feb</v>
      </c>
      <c r="R109" s="558" t="s">
        <v>365</v>
      </c>
      <c r="S109" s="559"/>
      <c r="T109" s="556" t="str">
        <f t="shared" ref="T109:AE109" si="78">D109</f>
        <v>Mar</v>
      </c>
      <c r="U109" s="19" t="str">
        <f t="shared" si="78"/>
        <v>Apr</v>
      </c>
      <c r="V109" s="19" t="str">
        <f t="shared" si="78"/>
        <v>May</v>
      </c>
      <c r="W109" s="19" t="str">
        <f t="shared" si="78"/>
        <v>Jun</v>
      </c>
      <c r="X109" s="19" t="str">
        <f t="shared" si="78"/>
        <v>Jul</v>
      </c>
      <c r="Y109" s="19" t="str">
        <f t="shared" si="78"/>
        <v>Aug</v>
      </c>
      <c r="Z109" s="19" t="str">
        <f t="shared" si="78"/>
        <v>Sep</v>
      </c>
      <c r="AA109" s="19" t="str">
        <f t="shared" si="78"/>
        <v>Oct</v>
      </c>
      <c r="AB109" s="19" t="str">
        <f t="shared" si="78"/>
        <v>Nov</v>
      </c>
      <c r="AC109" s="19" t="str">
        <f t="shared" si="78"/>
        <v>Dec</v>
      </c>
      <c r="AD109" s="19" t="str">
        <f t="shared" si="78"/>
        <v>Jan</v>
      </c>
      <c r="AE109" s="557" t="str">
        <f t="shared" si="78"/>
        <v>Feb</v>
      </c>
    </row>
    <row r="110" spans="1:31" x14ac:dyDescent="0.2">
      <c r="A110" s="15" t="s">
        <v>112</v>
      </c>
      <c r="B110" s="188" t="s">
        <v>90</v>
      </c>
      <c r="C110" s="189" t="s">
        <v>290</v>
      </c>
      <c r="D110" s="307"/>
      <c r="E110" s="307"/>
      <c r="F110" s="307"/>
      <c r="G110" s="307"/>
      <c r="H110" s="307"/>
      <c r="I110" s="307"/>
      <c r="J110" s="307"/>
      <c r="K110" s="307"/>
      <c r="L110" s="307"/>
      <c r="M110" s="307"/>
      <c r="N110" s="307"/>
      <c r="O110" s="308"/>
      <c r="R110" s="552" t="s">
        <v>370</v>
      </c>
      <c r="S110" s="560">
        <f>MAX(D111:O111)</f>
        <v>0</v>
      </c>
      <c r="T110" s="567"/>
      <c r="U110" s="568"/>
      <c r="V110" s="568"/>
      <c r="W110" s="568"/>
      <c r="X110" s="568"/>
      <c r="Y110" s="568"/>
      <c r="Z110" s="568"/>
      <c r="AA110" s="568"/>
      <c r="AB110" s="568"/>
      <c r="AC110" s="568"/>
      <c r="AD110" s="568"/>
      <c r="AE110" s="560"/>
    </row>
    <row r="111" spans="1:31" x14ac:dyDescent="0.2">
      <c r="A111" s="311"/>
      <c r="B111" s="244" t="s">
        <v>92</v>
      </c>
      <c r="C111" s="245" t="s">
        <v>22</v>
      </c>
      <c r="D111" s="635">
        <f>'P2 Area'!Q17</f>
        <v>0</v>
      </c>
      <c r="E111" s="635">
        <f>'P2 Area'!R17</f>
        <v>0</v>
      </c>
      <c r="F111" s="635">
        <f>'P2 Area'!S17</f>
        <v>0</v>
      </c>
      <c r="G111" s="635">
        <f>'P2 Area'!T17</f>
        <v>0</v>
      </c>
      <c r="H111" s="635">
        <f>'P2 Area'!U17</f>
        <v>0</v>
      </c>
      <c r="I111" s="635">
        <f>'P2 Area'!V17</f>
        <v>0</v>
      </c>
      <c r="J111" s="635">
        <f>'P2 Area'!W17</f>
        <v>0</v>
      </c>
      <c r="K111" s="635">
        <f>'P2 Area'!X17</f>
        <v>0</v>
      </c>
      <c r="L111" s="635">
        <f>'P2 Area'!Y17</f>
        <v>0</v>
      </c>
      <c r="M111" s="635">
        <f>'P2 Area'!Z17</f>
        <v>0</v>
      </c>
      <c r="N111" s="635">
        <f>'P2 Area'!AA17</f>
        <v>0</v>
      </c>
      <c r="O111" s="635">
        <f>'P2 Area'!AB17</f>
        <v>0</v>
      </c>
      <c r="R111" s="553" t="s">
        <v>369</v>
      </c>
      <c r="S111" s="566">
        <f>SUM(T111:AE111)</f>
        <v>0</v>
      </c>
      <c r="T111" s="563"/>
      <c r="U111" s="562"/>
      <c r="V111" s="562"/>
      <c r="W111" s="562"/>
      <c r="X111" s="562"/>
      <c r="Y111" s="562"/>
      <c r="Z111" s="562"/>
      <c r="AA111" s="562"/>
      <c r="AB111" s="562"/>
      <c r="AC111" s="562"/>
      <c r="AD111" s="562"/>
      <c r="AE111" s="564"/>
    </row>
    <row r="112" spans="1:31" ht="13.5" thickBot="1" x14ac:dyDescent="0.25">
      <c r="A112" s="13" t="e">
        <f>SUM(D112:O112)/MAX(D111:O111)</f>
        <v>#DIV/0!</v>
      </c>
      <c r="B112" s="13" t="s">
        <v>472</v>
      </c>
      <c r="C112" s="13" t="s">
        <v>40</v>
      </c>
      <c r="D112" s="646">
        <f>D110*D111</f>
        <v>0</v>
      </c>
      <c r="E112" s="646">
        <f t="shared" ref="E112:O112" si="79">E110*E111</f>
        <v>0</v>
      </c>
      <c r="F112" s="646">
        <f t="shared" si="79"/>
        <v>0</v>
      </c>
      <c r="G112" s="646">
        <f t="shared" si="79"/>
        <v>0</v>
      </c>
      <c r="H112" s="646">
        <f t="shared" si="79"/>
        <v>0</v>
      </c>
      <c r="I112" s="646">
        <f t="shared" si="79"/>
        <v>0</v>
      </c>
      <c r="J112" s="646">
        <f t="shared" si="79"/>
        <v>0</v>
      </c>
      <c r="K112" s="646">
        <f t="shared" si="79"/>
        <v>0</v>
      </c>
      <c r="L112" s="646">
        <f t="shared" si="79"/>
        <v>0</v>
      </c>
      <c r="M112" s="646">
        <f t="shared" si="79"/>
        <v>0</v>
      </c>
      <c r="N112" s="646">
        <f t="shared" si="79"/>
        <v>0</v>
      </c>
      <c r="O112" s="646">
        <f t="shared" si="79"/>
        <v>0</v>
      </c>
      <c r="R112" s="554" t="s">
        <v>371</v>
      </c>
      <c r="S112" s="2">
        <v>10000</v>
      </c>
      <c r="T112" s="565">
        <f>$S$113*T111</f>
        <v>0</v>
      </c>
      <c r="U112" s="247">
        <f t="shared" ref="U112:AE112" si="80">$S$113*U111</f>
        <v>0</v>
      </c>
      <c r="V112" s="247">
        <f t="shared" si="80"/>
        <v>0</v>
      </c>
      <c r="W112" s="247">
        <f t="shared" si="80"/>
        <v>0</v>
      </c>
      <c r="X112" s="247">
        <f t="shared" si="80"/>
        <v>0</v>
      </c>
      <c r="Y112" s="247">
        <f t="shared" si="80"/>
        <v>0</v>
      </c>
      <c r="Z112" s="247">
        <f t="shared" si="80"/>
        <v>0</v>
      </c>
      <c r="AA112" s="247">
        <f t="shared" si="80"/>
        <v>0</v>
      </c>
      <c r="AB112" s="247">
        <f t="shared" si="80"/>
        <v>0</v>
      </c>
      <c r="AC112" s="247">
        <f t="shared" si="80"/>
        <v>0</v>
      </c>
      <c r="AD112" s="247">
        <f t="shared" si="80"/>
        <v>0</v>
      </c>
      <c r="AE112" s="561">
        <f t="shared" si="80"/>
        <v>0</v>
      </c>
    </row>
    <row r="113" spans="1:19" ht="13.5" thickBot="1" x14ac:dyDescent="0.25">
      <c r="A113" s="13"/>
      <c r="B113" s="13" t="s">
        <v>473</v>
      </c>
      <c r="C113" s="13" t="s">
        <v>40</v>
      </c>
      <c r="D113" s="646">
        <f>'P2 Feeding'!D21</f>
        <v>0</v>
      </c>
      <c r="E113" s="646">
        <f>'P2 Feeding'!E21</f>
        <v>0</v>
      </c>
      <c r="F113" s="646">
        <f>'P2 Feeding'!F21</f>
        <v>0</v>
      </c>
      <c r="G113" s="646">
        <f>'P2 Feeding'!G21</f>
        <v>0</v>
      </c>
      <c r="H113" s="646">
        <f>'P2 Feeding'!H21</f>
        <v>0</v>
      </c>
      <c r="I113" s="646">
        <f>'P2 Feeding'!I21</f>
        <v>0</v>
      </c>
      <c r="J113" s="646">
        <f>'P2 Feeding'!J21</f>
        <v>0</v>
      </c>
      <c r="K113" s="646">
        <f>'P2 Feeding'!K21</f>
        <v>0</v>
      </c>
      <c r="L113" s="646">
        <f>'P2 Feeding'!L21</f>
        <v>0</v>
      </c>
      <c r="M113" s="646">
        <f>'P2 Feeding'!M21</f>
        <v>0</v>
      </c>
      <c r="N113" s="646">
        <f>'P2 Feeding'!N21</f>
        <v>0</v>
      </c>
      <c r="O113" s="646">
        <f>'P2 Feeding'!O21</f>
        <v>0</v>
      </c>
      <c r="R113" s="555" t="s">
        <v>366</v>
      </c>
      <c r="S113" s="561">
        <f>S112*S110</f>
        <v>0</v>
      </c>
    </row>
    <row r="114" spans="1:19" x14ac:dyDescent="0.2">
      <c r="A114" s="13"/>
      <c r="B114" s="13" t="s">
        <v>474</v>
      </c>
      <c r="C114" s="13" t="s">
        <v>41</v>
      </c>
      <c r="D114" s="310">
        <v>1</v>
      </c>
      <c r="E114" s="310">
        <f>D114</f>
        <v>1</v>
      </c>
      <c r="F114" s="310">
        <f t="shared" ref="F114:O114" si="81">E114</f>
        <v>1</v>
      </c>
      <c r="G114" s="310">
        <f t="shared" si="81"/>
        <v>1</v>
      </c>
      <c r="H114" s="310">
        <f t="shared" si="81"/>
        <v>1</v>
      </c>
      <c r="I114" s="310">
        <f t="shared" si="81"/>
        <v>1</v>
      </c>
      <c r="J114" s="310">
        <f t="shared" si="81"/>
        <v>1</v>
      </c>
      <c r="K114" s="310">
        <f t="shared" si="81"/>
        <v>1</v>
      </c>
      <c r="L114" s="310">
        <f t="shared" si="81"/>
        <v>1</v>
      </c>
      <c r="M114" s="310">
        <f t="shared" si="81"/>
        <v>1</v>
      </c>
      <c r="N114" s="310">
        <f t="shared" si="81"/>
        <v>1</v>
      </c>
      <c r="O114" s="310">
        <f t="shared" si="81"/>
        <v>1</v>
      </c>
    </row>
    <row r="115" spans="1:19" x14ac:dyDescent="0.2">
      <c r="A115" s="13">
        <f>MIN(D116:O116)</f>
        <v>0</v>
      </c>
      <c r="B115" s="13" t="s">
        <v>475</v>
      </c>
      <c r="C115" s="13" t="s">
        <v>40</v>
      </c>
      <c r="D115" s="646">
        <f>D113/D114</f>
        <v>0</v>
      </c>
      <c r="E115" s="646">
        <f t="shared" ref="E115:O115" si="82">E113/E114</f>
        <v>0</v>
      </c>
      <c r="F115" s="646">
        <f t="shared" si="82"/>
        <v>0</v>
      </c>
      <c r="G115" s="646">
        <f t="shared" si="82"/>
        <v>0</v>
      </c>
      <c r="H115" s="646">
        <f t="shared" si="82"/>
        <v>0</v>
      </c>
      <c r="I115" s="646">
        <f t="shared" si="82"/>
        <v>0</v>
      </c>
      <c r="J115" s="646">
        <f t="shared" si="82"/>
        <v>0</v>
      </c>
      <c r="K115" s="646">
        <f t="shared" si="82"/>
        <v>0</v>
      </c>
      <c r="L115" s="646">
        <f t="shared" si="82"/>
        <v>0</v>
      </c>
      <c r="M115" s="646">
        <f t="shared" si="82"/>
        <v>0</v>
      </c>
      <c r="N115" s="646">
        <f t="shared" si="82"/>
        <v>0</v>
      </c>
      <c r="O115" s="646">
        <f t="shared" si="82"/>
        <v>0</v>
      </c>
    </row>
    <row r="116" spans="1:19" ht="13.5" thickBot="1" x14ac:dyDescent="0.25">
      <c r="A116" s="249" t="s">
        <v>466</v>
      </c>
      <c r="B116" s="645">
        <v>0</v>
      </c>
      <c r="C116" s="247" t="s">
        <v>87</v>
      </c>
      <c r="D116" s="247">
        <f>B116+D112-D115</f>
        <v>0</v>
      </c>
      <c r="E116" s="247">
        <f t="shared" ref="E116:O116" si="83">D116+E112-E115</f>
        <v>0</v>
      </c>
      <c r="F116" s="247">
        <f t="shared" si="83"/>
        <v>0</v>
      </c>
      <c r="G116" s="247">
        <f t="shared" si="83"/>
        <v>0</v>
      </c>
      <c r="H116" s="247">
        <f t="shared" si="83"/>
        <v>0</v>
      </c>
      <c r="I116" s="247">
        <f t="shared" si="83"/>
        <v>0</v>
      </c>
      <c r="J116" s="247">
        <f t="shared" si="83"/>
        <v>0</v>
      </c>
      <c r="K116" s="247">
        <f t="shared" si="83"/>
        <v>0</v>
      </c>
      <c r="L116" s="247">
        <f t="shared" si="83"/>
        <v>0</v>
      </c>
      <c r="M116" s="247">
        <f t="shared" si="83"/>
        <v>0</v>
      </c>
      <c r="N116" s="247">
        <f t="shared" si="83"/>
        <v>0</v>
      </c>
      <c r="O116" s="247">
        <f t="shared" si="83"/>
        <v>0</v>
      </c>
    </row>
    <row r="117" spans="1:19" x14ac:dyDescent="0.2">
      <c r="B117" s="3"/>
      <c r="C117" s="3"/>
      <c r="D117" s="3"/>
      <c r="E117" s="3"/>
      <c r="F117" s="3"/>
      <c r="G117" s="3"/>
      <c r="H117" s="3"/>
      <c r="I117" s="3"/>
      <c r="J117" s="3"/>
      <c r="K117" s="3"/>
      <c r="L117" s="3"/>
      <c r="M117" s="3"/>
      <c r="N117" s="3"/>
      <c r="O117" s="3"/>
    </row>
    <row r="118" spans="1:19" x14ac:dyDescent="0.2">
      <c r="B118" s="3"/>
      <c r="C118" s="3"/>
      <c r="D118" s="3"/>
      <c r="E118" s="3"/>
      <c r="F118" s="3"/>
      <c r="G118" s="3"/>
      <c r="H118" s="3"/>
      <c r="I118" s="3"/>
      <c r="J118" s="3"/>
      <c r="K118" s="3"/>
      <c r="L118" s="3"/>
      <c r="M118" s="3"/>
      <c r="N118" s="3"/>
      <c r="O118" s="3"/>
    </row>
    <row r="119" spans="1:19" x14ac:dyDescent="0.2">
      <c r="B119" s="3"/>
      <c r="C119" s="3"/>
      <c r="D119" s="3"/>
      <c r="E119" s="3"/>
      <c r="F119" s="3"/>
      <c r="G119" s="3"/>
      <c r="H119" s="3"/>
      <c r="I119" s="3"/>
      <c r="J119" s="3"/>
      <c r="K119" s="3"/>
      <c r="L119" s="3"/>
      <c r="M119" s="3"/>
      <c r="N119" s="3"/>
      <c r="O119" s="3"/>
    </row>
    <row r="120" spans="1:19" x14ac:dyDescent="0.2">
      <c r="B120" s="3"/>
      <c r="C120" s="3"/>
      <c r="D120" s="3"/>
      <c r="E120" s="3"/>
      <c r="F120" s="3"/>
      <c r="G120" s="3"/>
      <c r="H120" s="3"/>
      <c r="I120" s="3"/>
      <c r="J120" s="3"/>
      <c r="K120" s="3"/>
      <c r="L120" s="3"/>
      <c r="M120" s="3"/>
      <c r="N120" s="3"/>
      <c r="O120" s="3"/>
    </row>
    <row r="121" spans="1:19" x14ac:dyDescent="0.2">
      <c r="B121" s="3"/>
      <c r="C121" s="3"/>
      <c r="D121" s="3"/>
      <c r="E121" s="3"/>
      <c r="F121" s="3"/>
      <c r="G121" s="3"/>
      <c r="H121" s="3"/>
      <c r="I121" s="3"/>
      <c r="J121" s="3"/>
      <c r="K121" s="3"/>
      <c r="L121" s="3"/>
      <c r="M121" s="3"/>
      <c r="N121" s="3"/>
      <c r="O121" s="3"/>
    </row>
    <row r="122" spans="1:19" x14ac:dyDescent="0.2">
      <c r="B122" s="3"/>
      <c r="C122" s="3"/>
      <c r="D122" s="3"/>
      <c r="E122" s="3"/>
      <c r="F122" s="3"/>
      <c r="G122" s="3"/>
      <c r="H122" s="3"/>
      <c r="I122" s="3"/>
      <c r="J122" s="3"/>
      <c r="K122" s="3"/>
      <c r="L122" s="3"/>
      <c r="M122" s="3"/>
      <c r="N122" s="3"/>
      <c r="O122" s="3"/>
    </row>
    <row r="123" spans="1:19" x14ac:dyDescent="0.2">
      <c r="B123" s="3"/>
      <c r="C123" s="3"/>
      <c r="D123" s="3"/>
      <c r="E123" s="3"/>
      <c r="F123" s="3"/>
      <c r="G123" s="3"/>
      <c r="H123" s="3"/>
      <c r="I123" s="3"/>
      <c r="J123" s="3"/>
      <c r="K123" s="3"/>
      <c r="L123" s="3"/>
      <c r="M123" s="3"/>
      <c r="N123" s="3"/>
      <c r="O123" s="3"/>
    </row>
    <row r="124" spans="1:19" x14ac:dyDescent="0.2">
      <c r="B124" s="3"/>
      <c r="C124" s="3"/>
      <c r="D124" s="3"/>
      <c r="E124" s="3"/>
      <c r="F124" s="3"/>
      <c r="G124" s="3"/>
      <c r="H124" s="3"/>
      <c r="I124" s="3"/>
      <c r="J124" s="3"/>
      <c r="K124" s="3"/>
      <c r="L124" s="3"/>
      <c r="M124" s="3"/>
      <c r="N124" s="3"/>
      <c r="O124" s="3"/>
    </row>
    <row r="125" spans="1:19" x14ac:dyDescent="0.2">
      <c r="B125" s="3"/>
      <c r="C125" s="3"/>
      <c r="D125" s="3"/>
      <c r="E125" s="3"/>
      <c r="F125" s="3"/>
      <c r="G125" s="3"/>
      <c r="H125" s="3"/>
      <c r="I125" s="3"/>
      <c r="J125" s="3"/>
      <c r="K125" s="3"/>
      <c r="L125" s="3"/>
      <c r="M125" s="3"/>
      <c r="N125" s="3"/>
      <c r="O125" s="3"/>
    </row>
    <row r="126" spans="1:19" x14ac:dyDescent="0.2">
      <c r="B126" s="3"/>
      <c r="C126" s="3"/>
      <c r="D126" s="3"/>
      <c r="E126" s="3"/>
      <c r="F126" s="3"/>
      <c r="G126" s="3"/>
      <c r="H126" s="3"/>
      <c r="I126" s="3"/>
      <c r="J126" s="3"/>
      <c r="K126" s="3"/>
      <c r="L126" s="3"/>
      <c r="M126" s="3"/>
      <c r="N126" s="3"/>
      <c r="O126" s="3"/>
    </row>
    <row r="127" spans="1:19" x14ac:dyDescent="0.2">
      <c r="B127" s="3"/>
      <c r="C127" s="3"/>
      <c r="D127" s="3"/>
      <c r="E127" s="3"/>
      <c r="F127" s="3"/>
      <c r="G127" s="3"/>
      <c r="H127" s="3"/>
      <c r="I127" s="3"/>
      <c r="J127" s="3"/>
      <c r="K127" s="3"/>
      <c r="L127" s="3"/>
      <c r="M127" s="3"/>
      <c r="N127" s="3"/>
      <c r="O127" s="3"/>
    </row>
    <row r="128" spans="1:19" x14ac:dyDescent="0.2">
      <c r="B128" s="3"/>
      <c r="C128" s="3"/>
      <c r="D128" s="3"/>
      <c r="E128" s="3"/>
      <c r="F128" s="3"/>
      <c r="G128" s="3"/>
      <c r="H128" s="3"/>
      <c r="I128" s="3"/>
      <c r="J128" s="3"/>
      <c r="K128" s="3"/>
      <c r="L128" s="3"/>
      <c r="M128" s="3"/>
      <c r="N128" s="3"/>
      <c r="O128" s="3"/>
    </row>
    <row r="129" spans="1:15" x14ac:dyDescent="0.2">
      <c r="B129" s="3"/>
      <c r="C129" s="3"/>
      <c r="D129" s="3"/>
      <c r="E129" s="3"/>
      <c r="F129" s="3"/>
      <c r="G129" s="3"/>
      <c r="H129" s="3"/>
      <c r="I129" s="3"/>
      <c r="J129" s="3"/>
      <c r="K129" s="3"/>
      <c r="L129" s="3"/>
      <c r="M129" s="3"/>
      <c r="N129" s="3"/>
      <c r="O129" s="3"/>
    </row>
    <row r="130" spans="1:15" x14ac:dyDescent="0.2">
      <c r="B130" s="3"/>
      <c r="C130" s="3"/>
      <c r="D130" s="3"/>
      <c r="E130" s="3"/>
      <c r="F130" s="3"/>
      <c r="G130" s="3"/>
      <c r="H130" s="3"/>
      <c r="I130" s="3"/>
      <c r="J130" s="3"/>
      <c r="K130" s="3"/>
      <c r="L130" s="3"/>
      <c r="M130" s="3"/>
      <c r="N130" s="3"/>
      <c r="O130" s="3"/>
    </row>
    <row r="131" spans="1:15" x14ac:dyDescent="0.2">
      <c r="B131" s="3"/>
      <c r="C131" s="3"/>
      <c r="D131" s="3"/>
      <c r="E131" s="3"/>
      <c r="F131" s="3"/>
      <c r="G131" s="3"/>
      <c r="H131" s="3"/>
      <c r="I131" s="3"/>
      <c r="J131" s="3"/>
      <c r="K131" s="3"/>
      <c r="L131" s="3"/>
      <c r="M131" s="3"/>
      <c r="N131" s="3"/>
      <c r="O131" s="3"/>
    </row>
    <row r="132" spans="1:15" x14ac:dyDescent="0.2">
      <c r="B132" s="3"/>
      <c r="C132" s="3"/>
      <c r="D132" s="3"/>
      <c r="E132" s="3"/>
      <c r="F132" s="3"/>
      <c r="G132" s="3"/>
      <c r="H132" s="3"/>
      <c r="I132" s="3"/>
      <c r="J132" s="3"/>
      <c r="K132" s="3"/>
      <c r="L132" s="3"/>
      <c r="M132" s="3"/>
      <c r="N132" s="3"/>
      <c r="O132" s="3"/>
    </row>
    <row r="133" spans="1:15" x14ac:dyDescent="0.2">
      <c r="B133" s="3"/>
      <c r="C133" s="3"/>
      <c r="D133" s="3"/>
      <c r="E133" s="3"/>
      <c r="F133" s="3"/>
      <c r="G133" s="3"/>
      <c r="H133" s="3"/>
      <c r="I133" s="3"/>
      <c r="J133" s="3"/>
      <c r="K133" s="3"/>
      <c r="L133" s="3"/>
      <c r="M133" s="3"/>
      <c r="N133" s="3"/>
      <c r="O133" s="3"/>
    </row>
    <row r="134" spans="1:15" x14ac:dyDescent="0.2">
      <c r="B134" s="3"/>
      <c r="C134" s="3"/>
      <c r="D134" s="3"/>
      <c r="E134" s="3"/>
      <c r="F134" s="3"/>
      <c r="G134" s="3"/>
      <c r="H134" s="3"/>
      <c r="I134" s="3"/>
      <c r="J134" s="3"/>
      <c r="K134" s="3"/>
      <c r="L134" s="3"/>
      <c r="M134" s="3"/>
      <c r="N134" s="3"/>
      <c r="O134" s="3"/>
    </row>
    <row r="135" spans="1:15" x14ac:dyDescent="0.2">
      <c r="B135" s="3"/>
      <c r="C135" s="3"/>
      <c r="D135" s="3"/>
      <c r="E135" s="3"/>
      <c r="F135" s="3"/>
      <c r="G135" s="3"/>
      <c r="H135" s="3"/>
      <c r="I135" s="3"/>
      <c r="J135" s="3"/>
      <c r="K135" s="3"/>
      <c r="L135" s="3"/>
      <c r="M135" s="3"/>
      <c r="N135" s="3"/>
      <c r="O135" s="3"/>
    </row>
    <row r="136" spans="1:15" x14ac:dyDescent="0.2">
      <c r="B136" s="3"/>
      <c r="C136" s="3"/>
      <c r="D136" s="3"/>
      <c r="E136" s="3"/>
      <c r="F136" s="3"/>
      <c r="G136" s="3"/>
      <c r="H136" s="3"/>
      <c r="I136" s="3"/>
      <c r="J136" s="3"/>
      <c r="K136" s="3"/>
      <c r="L136" s="3"/>
      <c r="M136" s="3"/>
      <c r="N136" s="3"/>
      <c r="O136" s="3"/>
    </row>
    <row r="137" spans="1:15" x14ac:dyDescent="0.2">
      <c r="B137" s="3"/>
      <c r="C137" s="3"/>
      <c r="D137" s="3"/>
      <c r="E137" s="3"/>
      <c r="F137" s="3"/>
      <c r="G137" s="3"/>
      <c r="H137" s="3"/>
      <c r="I137" s="3"/>
      <c r="J137" s="3"/>
      <c r="K137" s="3"/>
      <c r="L137" s="3"/>
      <c r="M137" s="3"/>
      <c r="N137" s="3"/>
      <c r="O137" s="3"/>
    </row>
    <row r="140" spans="1:15" ht="13.5" thickBot="1" x14ac:dyDescent="0.25"/>
    <row r="141" spans="1:15" x14ac:dyDescent="0.2">
      <c r="A141" s="250" t="s">
        <v>98</v>
      </c>
      <c r="B141" s="38"/>
      <c r="C141" s="38"/>
      <c r="D141" s="38"/>
      <c r="E141" s="38"/>
      <c r="F141" s="38"/>
      <c r="G141" s="251"/>
    </row>
    <row r="142" spans="1:15" x14ac:dyDescent="0.2">
      <c r="A142" s="252"/>
      <c r="B142" s="253" t="s">
        <v>99</v>
      </c>
      <c r="C142" s="253" t="s">
        <v>100</v>
      </c>
      <c r="D142" s="253" t="s">
        <v>96</v>
      </c>
      <c r="E142" s="253" t="s">
        <v>91</v>
      </c>
      <c r="F142" s="253" t="s">
        <v>97</v>
      </c>
      <c r="G142" s="254" t="s">
        <v>95</v>
      </c>
    </row>
    <row r="143" spans="1:15" x14ac:dyDescent="0.2">
      <c r="A143" s="255" t="s">
        <v>101</v>
      </c>
      <c r="B143" s="256">
        <v>70</v>
      </c>
      <c r="C143" s="256">
        <v>85</v>
      </c>
      <c r="D143" s="256"/>
      <c r="E143" s="256"/>
      <c r="F143" s="256"/>
      <c r="G143" s="257"/>
    </row>
    <row r="144" spans="1:15" x14ac:dyDescent="0.2">
      <c r="A144" s="255" t="s">
        <v>86</v>
      </c>
      <c r="B144" s="256"/>
      <c r="C144" s="256"/>
      <c r="D144" s="256">
        <v>85</v>
      </c>
      <c r="E144" s="256">
        <v>70</v>
      </c>
      <c r="F144" s="256"/>
      <c r="G144" s="257"/>
    </row>
    <row r="145" spans="1:7" ht="13.5" thickBot="1" x14ac:dyDescent="0.25">
      <c r="A145" s="258" t="s">
        <v>14</v>
      </c>
      <c r="B145" s="259"/>
      <c r="C145" s="259"/>
      <c r="D145" s="259"/>
      <c r="E145" s="259">
        <v>80</v>
      </c>
      <c r="F145" s="259">
        <v>90</v>
      </c>
      <c r="G145" s="260">
        <v>95</v>
      </c>
    </row>
  </sheetData>
  <mergeCells count="1">
    <mergeCell ref="A1:N1"/>
  </mergeCells>
  <hyperlinks>
    <hyperlink ref="A3" location="Instructions!A90" display="Instructions" xr:uid="{FA94F3D6-FF23-430B-BADF-84D924775AAC}"/>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1C2E7-6AE0-4F2B-9756-12E7168179E1}">
  <sheetPr>
    <tabColor rgb="FFFF0000"/>
  </sheetPr>
  <dimension ref="A1:AI35"/>
  <sheetViews>
    <sheetView workbookViewId="0">
      <pane xSplit="3" ySplit="23" topLeftCell="D27" activePane="bottomRight" state="frozen"/>
      <selection pane="topRight" activeCell="D1" sqref="D1"/>
      <selection pane="bottomLeft" activeCell="A24" sqref="A24"/>
      <selection pane="bottomRight" activeCell="J22" sqref="D22:J22"/>
    </sheetView>
  </sheetViews>
  <sheetFormatPr defaultRowHeight="12.75" x14ac:dyDescent="0.2"/>
  <cols>
    <col min="1" max="1" width="29.5" style="2" customWidth="1"/>
    <col min="2" max="3" width="10.6640625" style="2" customWidth="1"/>
    <col min="4" max="15" width="10.5" style="2" customWidth="1"/>
    <col min="16" max="17" width="9.33203125" style="2"/>
    <col min="18" max="18" width="22.6640625" style="2" customWidth="1"/>
    <col min="19" max="16384" width="9.33203125" style="2"/>
  </cols>
  <sheetData>
    <row r="1" spans="1:35" ht="13.5" thickBot="1" x14ac:dyDescent="0.25">
      <c r="D1" s="2">
        <f>'P1 Bal'!E12</f>
        <v>31</v>
      </c>
      <c r="E1" s="2">
        <f>'P1 Bal'!F12</f>
        <v>30</v>
      </c>
      <c r="F1" s="2">
        <f>'P1 Bal'!G12</f>
        <v>31</v>
      </c>
      <c r="G1" s="2">
        <f>'P1 Bal'!H12</f>
        <v>30</v>
      </c>
      <c r="H1" s="2">
        <f>'P1 Bal'!I12</f>
        <v>31</v>
      </c>
      <c r="I1" s="2">
        <f>'P1 Bal'!J12</f>
        <v>31</v>
      </c>
      <c r="J1" s="2">
        <f>'P1 Bal'!K12</f>
        <v>30</v>
      </c>
      <c r="K1" s="2">
        <f>'P1 Bal'!L12</f>
        <v>31</v>
      </c>
      <c r="L1" s="2">
        <f>'P1 Bal'!M12</f>
        <v>30</v>
      </c>
      <c r="M1" s="2">
        <f>'P1 Bal'!N12</f>
        <v>31</v>
      </c>
      <c r="N1" s="2">
        <f>'P1 Bal'!O12</f>
        <v>31</v>
      </c>
      <c r="O1" s="2">
        <f>'P1 Bal'!P12</f>
        <v>28</v>
      </c>
    </row>
    <row r="2" spans="1:35" ht="13.5" thickBot="1" x14ac:dyDescent="0.25">
      <c r="B2" s="2" t="s">
        <v>0</v>
      </c>
      <c r="C2" s="2" t="s">
        <v>456</v>
      </c>
      <c r="D2" s="636" t="str">
        <f>'P1 Area'!C6</f>
        <v>Mar</v>
      </c>
      <c r="E2" s="636" t="str">
        <f>'P1 Area'!D6</f>
        <v>Apr</v>
      </c>
      <c r="F2" s="636" t="str">
        <f>'P1 Area'!E6</f>
        <v>May</v>
      </c>
      <c r="G2" s="636" t="str">
        <f>'P1 Area'!F6</f>
        <v>Jun</v>
      </c>
      <c r="H2" s="636" t="str">
        <f>'P1 Area'!G6</f>
        <v>Jul</v>
      </c>
      <c r="I2" s="636" t="str">
        <f>'P1 Area'!H6</f>
        <v>Aug</v>
      </c>
      <c r="J2" s="636" t="str">
        <f>'P1 Area'!I6</f>
        <v>Sep</v>
      </c>
      <c r="K2" s="636" t="str">
        <f>'P1 Area'!J6</f>
        <v>Oct</v>
      </c>
      <c r="L2" s="636" t="str">
        <f>'P1 Area'!K6</f>
        <v>Nov</v>
      </c>
      <c r="M2" s="636" t="str">
        <f>'P1 Area'!L6</f>
        <v>Dec</v>
      </c>
      <c r="N2" s="636" t="str">
        <f>'P1 Area'!M6</f>
        <v>Jan</v>
      </c>
      <c r="O2" s="636" t="str">
        <f>'P1 Area'!N6</f>
        <v>Feb</v>
      </c>
      <c r="R2" s="669" t="s">
        <v>489</v>
      </c>
      <c r="S2" s="670"/>
      <c r="T2" s="671" t="str">
        <f>D2</f>
        <v>Mar</v>
      </c>
      <c r="U2" s="671" t="str">
        <f t="shared" ref="U2:AD2" si="0">E2</f>
        <v>Apr</v>
      </c>
      <c r="V2" s="671" t="str">
        <f t="shared" si="0"/>
        <v>May</v>
      </c>
      <c r="W2" s="671" t="str">
        <f t="shared" si="0"/>
        <v>Jun</v>
      </c>
      <c r="X2" s="671" t="str">
        <f t="shared" si="0"/>
        <v>Jul</v>
      </c>
      <c r="Y2" s="671" t="str">
        <f t="shared" si="0"/>
        <v>Aug</v>
      </c>
      <c r="Z2" s="671" t="str">
        <f t="shared" si="0"/>
        <v>Sep</v>
      </c>
      <c r="AA2" s="671" t="str">
        <f t="shared" si="0"/>
        <v>Oct</v>
      </c>
      <c r="AB2" s="671" t="str">
        <f t="shared" si="0"/>
        <v>Nov</v>
      </c>
      <c r="AC2" s="671" t="str">
        <f t="shared" si="0"/>
        <v>Dec</v>
      </c>
      <c r="AD2" s="671" t="str">
        <f t="shared" si="0"/>
        <v>Jan</v>
      </c>
      <c r="AE2" s="671" t="str">
        <f>O2</f>
        <v>Feb</v>
      </c>
      <c r="AF2" s="672" t="s">
        <v>0</v>
      </c>
    </row>
    <row r="3" spans="1:35" ht="13.5" thickBot="1" x14ac:dyDescent="0.25">
      <c r="A3" s="2" t="s">
        <v>455</v>
      </c>
      <c r="C3" s="2">
        <v>0</v>
      </c>
      <c r="D3" s="636">
        <f>'P2 Bal'!E88</f>
        <v>0</v>
      </c>
      <c r="E3" s="636">
        <f>'P2 Bal'!F88</f>
        <v>0</v>
      </c>
      <c r="F3" s="636">
        <f>'P2 Bal'!G88</f>
        <v>0</v>
      </c>
      <c r="G3" s="636">
        <f>'P2 Bal'!H88</f>
        <v>0</v>
      </c>
      <c r="H3" s="636">
        <f>'P2 Bal'!I88</f>
        <v>0</v>
      </c>
      <c r="I3" s="636">
        <f>'P2 Bal'!J88</f>
        <v>0</v>
      </c>
      <c r="J3" s="636">
        <f>'P2 Bal'!K88</f>
        <v>0</v>
      </c>
      <c r="K3" s="636">
        <f>'P2 Bal'!L88</f>
        <v>0</v>
      </c>
      <c r="L3" s="636">
        <f>'P2 Bal'!M88</f>
        <v>0</v>
      </c>
      <c r="M3" s="636">
        <f>'P2 Bal'!N88</f>
        <v>0</v>
      </c>
      <c r="N3" s="636">
        <f>'P2 Bal'!O88</f>
        <v>0</v>
      </c>
      <c r="O3" s="636">
        <f>'P2 Bal'!P88</f>
        <v>0</v>
      </c>
      <c r="R3" s="668">
        <f>Trnsf!A15</f>
        <v>0</v>
      </c>
      <c r="S3" s="665" t="s">
        <v>492</v>
      </c>
      <c r="T3" s="665">
        <f>Trnsf!D15</f>
        <v>0</v>
      </c>
      <c r="U3" s="665">
        <f>Trnsf!E15</f>
        <v>0</v>
      </c>
      <c r="V3" s="665">
        <f>Trnsf!F15</f>
        <v>0</v>
      </c>
      <c r="W3" s="665">
        <f>Trnsf!G15</f>
        <v>0</v>
      </c>
      <c r="X3" s="665">
        <f>Trnsf!H15</f>
        <v>0</v>
      </c>
      <c r="Y3" s="665">
        <f>Trnsf!I15</f>
        <v>0</v>
      </c>
      <c r="Z3" s="665">
        <f>Trnsf!J15</f>
        <v>0</v>
      </c>
      <c r="AA3" s="665">
        <f>Trnsf!K15</f>
        <v>0</v>
      </c>
      <c r="AB3" s="665">
        <f>Trnsf!L15</f>
        <v>0</v>
      </c>
      <c r="AC3" s="665">
        <f>Trnsf!M15</f>
        <v>0</v>
      </c>
      <c r="AD3" s="665">
        <f>Trnsf!N15</f>
        <v>0</v>
      </c>
      <c r="AE3" s="665">
        <f>Trnsf!O15</f>
        <v>0</v>
      </c>
      <c r="AF3" s="144">
        <f>SUM(T3:AE3)</f>
        <v>0</v>
      </c>
    </row>
    <row r="4" spans="1:35" ht="13.5" thickBot="1" x14ac:dyDescent="0.25">
      <c r="A4" s="2" t="s">
        <v>452</v>
      </c>
      <c r="B4" s="2">
        <f t="shared" ref="B4:B22" si="1">SUM(D4:O4)</f>
        <v>0</v>
      </c>
      <c r="D4" s="2">
        <f>'P2 Bal'!E51</f>
        <v>0</v>
      </c>
      <c r="E4" s="2">
        <f>'P2 Bal'!F51</f>
        <v>0</v>
      </c>
      <c r="F4" s="2">
        <f>'P2 Bal'!G51</f>
        <v>0</v>
      </c>
      <c r="G4" s="2">
        <f>'P2 Bal'!H51</f>
        <v>0</v>
      </c>
      <c r="H4" s="2">
        <f>'P2 Bal'!I51</f>
        <v>0</v>
      </c>
      <c r="I4" s="2">
        <f>'P2 Bal'!J51</f>
        <v>0</v>
      </c>
      <c r="J4" s="2">
        <f>'P2 Bal'!K51</f>
        <v>0</v>
      </c>
      <c r="K4" s="2">
        <f>'P2 Bal'!L51</f>
        <v>0</v>
      </c>
      <c r="L4" s="2">
        <f>'P2 Bal'!M51</f>
        <v>0</v>
      </c>
      <c r="M4" s="2">
        <f>'P2 Bal'!N51</f>
        <v>0</v>
      </c>
      <c r="N4" s="2">
        <f>'P2 Bal'!O51</f>
        <v>0</v>
      </c>
      <c r="O4" s="2">
        <f>'P2 Bal'!P51</f>
        <v>0</v>
      </c>
      <c r="R4" s="659"/>
      <c r="S4" s="660" t="s">
        <v>497</v>
      </c>
      <c r="T4" s="664">
        <f>D12</f>
        <v>0</v>
      </c>
      <c r="U4" s="664">
        <f t="shared" ref="U4:AE4" si="2">E12</f>
        <v>0</v>
      </c>
      <c r="V4" s="664">
        <f t="shared" si="2"/>
        <v>0</v>
      </c>
      <c r="W4" s="664">
        <f t="shared" si="2"/>
        <v>0</v>
      </c>
      <c r="X4" s="664">
        <f t="shared" si="2"/>
        <v>0</v>
      </c>
      <c r="Y4" s="664">
        <f t="shared" si="2"/>
        <v>0</v>
      </c>
      <c r="Z4" s="664">
        <f t="shared" si="2"/>
        <v>0</v>
      </c>
      <c r="AA4" s="664">
        <f t="shared" si="2"/>
        <v>0</v>
      </c>
      <c r="AB4" s="664">
        <f t="shared" si="2"/>
        <v>0</v>
      </c>
      <c r="AC4" s="664">
        <f t="shared" si="2"/>
        <v>0</v>
      </c>
      <c r="AD4" s="664">
        <f t="shared" si="2"/>
        <v>0</v>
      </c>
      <c r="AE4" s="664">
        <f t="shared" si="2"/>
        <v>0</v>
      </c>
      <c r="AF4" s="661">
        <f>SUM(T4:AE4)</f>
        <v>0</v>
      </c>
      <c r="AG4" s="763" t="s">
        <v>500</v>
      </c>
      <c r="AH4" s="762">
        <v>9</v>
      </c>
      <c r="AI4" s="765">
        <f>AH4/10.5</f>
        <v>0.8571428571428571</v>
      </c>
    </row>
    <row r="5" spans="1:35" ht="13.5" thickBot="1" x14ac:dyDescent="0.25">
      <c r="A5" s="2" t="s">
        <v>322</v>
      </c>
      <c r="B5" s="2">
        <f t="shared" si="1"/>
        <v>0</v>
      </c>
      <c r="D5" s="2">
        <f>D27*'P2 Bal'!E56*D1</f>
        <v>0</v>
      </c>
      <c r="E5" s="2">
        <f>E27*'P2 Bal'!F56*E1</f>
        <v>0</v>
      </c>
      <c r="F5" s="2">
        <f>F27*'P2 Bal'!G56*F1</f>
        <v>0</v>
      </c>
      <c r="G5" s="2">
        <f>G27*'P2 Bal'!H56*G1</f>
        <v>0</v>
      </c>
      <c r="H5" s="2">
        <f>H27*'P2 Bal'!I56*H1</f>
        <v>0</v>
      </c>
      <c r="I5" s="2">
        <f>I27*'P2 Bal'!J56*I1</f>
        <v>0</v>
      </c>
      <c r="J5" s="2">
        <f>J27*'P2 Bal'!K56*J1</f>
        <v>0</v>
      </c>
      <c r="K5" s="2">
        <f>K27*'P2 Bal'!L56*K1</f>
        <v>0</v>
      </c>
      <c r="L5" s="2">
        <f>L27*'P2 Bal'!M56*L1</f>
        <v>0</v>
      </c>
      <c r="M5" s="2">
        <f>M27*'P2 Bal'!N56*M1</f>
        <v>0</v>
      </c>
      <c r="N5" s="2">
        <f>N27*'P2 Bal'!O56*N1</f>
        <v>0</v>
      </c>
      <c r="O5" s="2">
        <f>O27*'P2 Bal'!P56*O1</f>
        <v>0</v>
      </c>
      <c r="R5" s="659"/>
      <c r="S5" s="660" t="s">
        <v>498</v>
      </c>
      <c r="T5" s="760">
        <f>AI5</f>
        <v>0.64285714285714279</v>
      </c>
      <c r="U5" s="760">
        <f>T5</f>
        <v>0.64285714285714279</v>
      </c>
      <c r="V5" s="760">
        <f t="shared" ref="V5:AE5" si="3">U5</f>
        <v>0.64285714285714279</v>
      </c>
      <c r="W5" s="760">
        <f t="shared" si="3"/>
        <v>0.64285714285714279</v>
      </c>
      <c r="X5" s="760">
        <f t="shared" si="3"/>
        <v>0.64285714285714279</v>
      </c>
      <c r="Y5" s="760">
        <f t="shared" si="3"/>
        <v>0.64285714285714279</v>
      </c>
      <c r="Z5" s="760">
        <f t="shared" si="3"/>
        <v>0.64285714285714279</v>
      </c>
      <c r="AA5" s="760">
        <f t="shared" si="3"/>
        <v>0.64285714285714279</v>
      </c>
      <c r="AB5" s="760">
        <f t="shared" si="3"/>
        <v>0.64285714285714279</v>
      </c>
      <c r="AC5" s="760">
        <f t="shared" si="3"/>
        <v>0.64285714285714279</v>
      </c>
      <c r="AD5" s="760">
        <f t="shared" si="3"/>
        <v>0.64285714285714279</v>
      </c>
      <c r="AE5" s="760">
        <f t="shared" si="3"/>
        <v>0.64285714285714279</v>
      </c>
      <c r="AF5" s="661"/>
      <c r="AG5" s="662" t="s">
        <v>501</v>
      </c>
      <c r="AH5" s="764">
        <v>0.25</v>
      </c>
      <c r="AI5" s="766">
        <f>1*(1-AH5)*AI4</f>
        <v>0.64285714285714279</v>
      </c>
    </row>
    <row r="6" spans="1:35" x14ac:dyDescent="0.2">
      <c r="A6" s="2" t="s">
        <v>323</v>
      </c>
      <c r="D6" s="2">
        <f>D29*'P2 Bal'!E57*'P2 Feeding'!D1</f>
        <v>0</v>
      </c>
      <c r="E6" s="2">
        <f>E29*'P2 Bal'!F57*'P2 Feeding'!E1</f>
        <v>0</v>
      </c>
      <c r="F6" s="2">
        <f>F29*'P2 Bal'!G57*'P2 Feeding'!F1</f>
        <v>0</v>
      </c>
      <c r="G6" s="2">
        <f>G29*'P2 Bal'!H57*'P2 Feeding'!G1</f>
        <v>0</v>
      </c>
      <c r="H6" s="2">
        <f>H29*'P2 Bal'!I57*'P2 Feeding'!H1</f>
        <v>0</v>
      </c>
      <c r="I6" s="2">
        <f>I29*'P2 Bal'!J57*'P2 Feeding'!I1</f>
        <v>0</v>
      </c>
      <c r="J6" s="2">
        <f>J29*'P2 Bal'!K57*'P2 Feeding'!J1</f>
        <v>0</v>
      </c>
      <c r="K6" s="2">
        <f>K29*'P2 Bal'!L57*'P2 Feeding'!K1</f>
        <v>0</v>
      </c>
      <c r="L6" s="2">
        <f>L29*'P2 Bal'!M57*'P2 Feeding'!L1</f>
        <v>0</v>
      </c>
      <c r="M6" s="2">
        <f>M29*'P2 Bal'!N57*'P2 Feeding'!M1</f>
        <v>0</v>
      </c>
      <c r="N6" s="2">
        <f>N29*'P2 Bal'!O57*'P2 Feeding'!N1</f>
        <v>0</v>
      </c>
      <c r="O6" s="2">
        <f>O29*'P2 Bal'!P57*'P2 Feeding'!O1</f>
        <v>0</v>
      </c>
      <c r="R6" s="659"/>
      <c r="S6" s="660" t="s">
        <v>499</v>
      </c>
      <c r="T6" s="757">
        <f>T4/T5</f>
        <v>0</v>
      </c>
      <c r="U6" s="757">
        <f t="shared" ref="U6:AE6" si="4">U4/U5</f>
        <v>0</v>
      </c>
      <c r="V6" s="757">
        <f t="shared" si="4"/>
        <v>0</v>
      </c>
      <c r="W6" s="757">
        <f t="shared" si="4"/>
        <v>0</v>
      </c>
      <c r="X6" s="757">
        <f t="shared" si="4"/>
        <v>0</v>
      </c>
      <c r="Y6" s="757">
        <f t="shared" si="4"/>
        <v>0</v>
      </c>
      <c r="Z6" s="757">
        <f t="shared" si="4"/>
        <v>0</v>
      </c>
      <c r="AA6" s="757">
        <f t="shared" si="4"/>
        <v>0</v>
      </c>
      <c r="AB6" s="757">
        <f t="shared" si="4"/>
        <v>0</v>
      </c>
      <c r="AC6" s="757">
        <f t="shared" si="4"/>
        <v>0</v>
      </c>
      <c r="AD6" s="757">
        <f t="shared" si="4"/>
        <v>0</v>
      </c>
      <c r="AE6" s="757">
        <f t="shared" si="4"/>
        <v>0</v>
      </c>
      <c r="AF6" s="661"/>
    </row>
    <row r="7" spans="1:35" x14ac:dyDescent="0.2">
      <c r="A7" s="2" t="s">
        <v>358</v>
      </c>
      <c r="B7" s="2">
        <f t="shared" si="1"/>
        <v>0</v>
      </c>
      <c r="D7" s="2">
        <f>(D30*'P2 Bal'!E58+D31*'P2 Bal'!E59+D32*'P2 Bal'!E60)*'P2 Feeding'!D1</f>
        <v>0</v>
      </c>
      <c r="E7" s="2">
        <f>(E30*'P2 Bal'!F58+E31*'P2 Bal'!F59+E32*'P2 Bal'!F60)*'P2 Feeding'!E1</f>
        <v>0</v>
      </c>
      <c r="F7" s="2">
        <f>(F30*'P2 Bal'!G58+F31*'P2 Bal'!G59+F32*'P2 Bal'!G60)*'P2 Feeding'!F1</f>
        <v>0</v>
      </c>
      <c r="G7" s="2">
        <f>(G30*'P2 Bal'!H58+G31*'P2 Bal'!H59+G32*'P2 Bal'!H60)*'P2 Feeding'!G1</f>
        <v>0</v>
      </c>
      <c r="H7" s="2">
        <f>(H30*'P2 Bal'!I58+H31*'P2 Bal'!I59+H32*'P2 Bal'!I60)*'P2 Feeding'!H1</f>
        <v>0</v>
      </c>
      <c r="I7" s="2">
        <f>(I30*'P2 Bal'!J58+I31*'P2 Bal'!J59+I32*'P2 Bal'!J60)*'P2 Feeding'!I1</f>
        <v>0</v>
      </c>
      <c r="J7" s="2">
        <f>(J30*'P2 Bal'!K58+J31*'P2 Bal'!K59+J32*'P2 Bal'!K60)*'P2 Feeding'!J1</f>
        <v>0</v>
      </c>
      <c r="K7" s="2">
        <f>(K30*'P2 Bal'!L58+K31*'P2 Bal'!L59+K32*'P2 Bal'!L60)*'P2 Feeding'!K1</f>
        <v>0</v>
      </c>
      <c r="L7" s="2">
        <f>(L30*'P2 Bal'!M58+L31*'P2 Bal'!M59+L32*'P2 Bal'!M60)*'P2 Feeding'!L1</f>
        <v>0</v>
      </c>
      <c r="M7" s="2">
        <f>(M30*'P2 Bal'!N58+M31*'P2 Bal'!N59+M32*'P2 Bal'!N60)*'P2 Feeding'!M1</f>
        <v>0</v>
      </c>
      <c r="N7" s="2">
        <f>(N30*'P2 Bal'!O58+N31*'P2 Bal'!O59+N32*'P2 Bal'!O60)*'P2 Feeding'!N1</f>
        <v>0</v>
      </c>
      <c r="O7" s="2">
        <f>(O30*'P2 Bal'!P58+O31*'P2 Bal'!P59+O32*'P2 Bal'!P60)*'P2 Feeding'!O1</f>
        <v>0</v>
      </c>
      <c r="R7" s="659">
        <v>0</v>
      </c>
      <c r="S7" s="660" t="s">
        <v>453</v>
      </c>
      <c r="T7" s="666">
        <f>R7+T3-T6</f>
        <v>0</v>
      </c>
      <c r="U7" s="666">
        <f>T7+U3-U6</f>
        <v>0</v>
      </c>
      <c r="V7" s="666">
        <f t="shared" ref="V7:AE7" si="5">U7+V3-V6</f>
        <v>0</v>
      </c>
      <c r="W7" s="666">
        <f t="shared" si="5"/>
        <v>0</v>
      </c>
      <c r="X7" s="666">
        <f t="shared" si="5"/>
        <v>0</v>
      </c>
      <c r="Y7" s="666">
        <f t="shared" si="5"/>
        <v>0</v>
      </c>
      <c r="Z7" s="666">
        <f t="shared" si="5"/>
        <v>0</v>
      </c>
      <c r="AA7" s="666">
        <f t="shared" si="5"/>
        <v>0</v>
      </c>
      <c r="AB7" s="666">
        <f t="shared" si="5"/>
        <v>0</v>
      </c>
      <c r="AC7" s="666">
        <f t="shared" si="5"/>
        <v>0</v>
      </c>
      <c r="AD7" s="666">
        <f t="shared" si="5"/>
        <v>0</v>
      </c>
      <c r="AE7" s="666">
        <f t="shared" si="5"/>
        <v>0</v>
      </c>
      <c r="AF7" s="661">
        <f>MIN(T7:AE7)</f>
        <v>0</v>
      </c>
    </row>
    <row r="8" spans="1:35" x14ac:dyDescent="0.2">
      <c r="A8" s="655" t="str">
        <f>'P2 Supps'!A6</f>
        <v>Bought Lucern</v>
      </c>
      <c r="B8" s="2">
        <f t="shared" si="1"/>
        <v>0</v>
      </c>
      <c r="R8" s="659"/>
      <c r="S8" s="660"/>
      <c r="T8" s="665"/>
      <c r="U8" s="665"/>
      <c r="V8" s="665"/>
      <c r="W8" s="665"/>
      <c r="X8" s="665"/>
      <c r="Y8" s="665"/>
      <c r="Z8" s="665"/>
      <c r="AA8" s="665"/>
      <c r="AB8" s="665"/>
      <c r="AC8" s="665"/>
      <c r="AD8" s="665"/>
      <c r="AE8" s="665"/>
      <c r="AF8" s="661"/>
    </row>
    <row r="9" spans="1:35" ht="13.5" thickBot="1" x14ac:dyDescent="0.25">
      <c r="A9" s="655" t="str">
        <f>'P2 Supps'!A17</f>
        <v>Bought Drought Supplement</v>
      </c>
      <c r="B9" s="2">
        <f t="shared" si="1"/>
        <v>0</v>
      </c>
      <c r="R9" s="667">
        <f>Trnsf!A16</f>
        <v>0</v>
      </c>
      <c r="S9" s="660" t="s">
        <v>492</v>
      </c>
      <c r="T9" s="660">
        <f>Trnsf!D16</f>
        <v>0</v>
      </c>
      <c r="U9" s="660">
        <f>Trnsf!E16</f>
        <v>0</v>
      </c>
      <c r="V9" s="660">
        <f>Trnsf!F16</f>
        <v>0</v>
      </c>
      <c r="W9" s="660">
        <f>Trnsf!G16</f>
        <v>0</v>
      </c>
      <c r="X9" s="660">
        <f>Trnsf!H16</f>
        <v>0</v>
      </c>
      <c r="Y9" s="660">
        <f>Trnsf!I16</f>
        <v>0</v>
      </c>
      <c r="Z9" s="660">
        <f>Trnsf!J16</f>
        <v>0</v>
      </c>
      <c r="AA9" s="660">
        <f>Trnsf!K16</f>
        <v>0</v>
      </c>
      <c r="AB9" s="660">
        <f>Trnsf!L16</f>
        <v>0</v>
      </c>
      <c r="AC9" s="660">
        <f>Trnsf!M16</f>
        <v>0</v>
      </c>
      <c r="AD9" s="660">
        <f>Trnsf!N16</f>
        <v>0</v>
      </c>
      <c r="AE9" s="660">
        <f>Trnsf!O16</f>
        <v>0</v>
      </c>
      <c r="AF9" s="661">
        <f t="shared" ref="AF9:AF10" si="6">SUM(T9:AE9)</f>
        <v>0</v>
      </c>
    </row>
    <row r="10" spans="1:35" ht="13.5" thickBot="1" x14ac:dyDescent="0.25">
      <c r="A10" s="655" t="str">
        <f>'P2 Supps'!A28</f>
        <v>Bought Teff</v>
      </c>
      <c r="B10" s="2">
        <f t="shared" si="1"/>
        <v>0</v>
      </c>
      <c r="R10" s="659"/>
      <c r="S10" s="660" t="s">
        <v>497</v>
      </c>
      <c r="T10" s="660">
        <f>D13</f>
        <v>0</v>
      </c>
      <c r="U10" s="660">
        <f t="shared" ref="U10:AE10" si="7">E13</f>
        <v>0</v>
      </c>
      <c r="V10" s="660">
        <f t="shared" si="7"/>
        <v>0</v>
      </c>
      <c r="W10" s="660">
        <f t="shared" si="7"/>
        <v>0</v>
      </c>
      <c r="X10" s="660">
        <f t="shared" si="7"/>
        <v>0</v>
      </c>
      <c r="Y10" s="660">
        <f t="shared" si="7"/>
        <v>0</v>
      </c>
      <c r="Z10" s="660">
        <f t="shared" si="7"/>
        <v>0</v>
      </c>
      <c r="AA10" s="660">
        <f t="shared" si="7"/>
        <v>0</v>
      </c>
      <c r="AB10" s="660">
        <f t="shared" si="7"/>
        <v>0</v>
      </c>
      <c r="AC10" s="660">
        <f t="shared" si="7"/>
        <v>0</v>
      </c>
      <c r="AD10" s="660">
        <f t="shared" si="7"/>
        <v>0</v>
      </c>
      <c r="AE10" s="660">
        <f t="shared" si="7"/>
        <v>0</v>
      </c>
      <c r="AF10" s="661">
        <f t="shared" si="6"/>
        <v>0</v>
      </c>
      <c r="AG10" s="763" t="s">
        <v>500</v>
      </c>
      <c r="AH10" s="762">
        <v>9</v>
      </c>
      <c r="AI10" s="765">
        <f>AH10/10.5</f>
        <v>0.8571428571428571</v>
      </c>
    </row>
    <row r="11" spans="1:35" ht="13.5" thickBot="1" x14ac:dyDescent="0.25">
      <c r="A11" s="655" t="str">
        <f>'P2 Supps'!A39</f>
        <v>Bought Grass Hay</v>
      </c>
      <c r="B11" s="2">
        <f t="shared" si="1"/>
        <v>0</v>
      </c>
      <c r="R11" s="659"/>
      <c r="S11" s="660" t="s">
        <v>498</v>
      </c>
      <c r="T11" s="761">
        <f>AI11</f>
        <v>0.64285714285714279</v>
      </c>
      <c r="U11" s="761">
        <f>T11</f>
        <v>0.64285714285714279</v>
      </c>
      <c r="V11" s="761">
        <f t="shared" ref="V11:AE11" si="8">U11</f>
        <v>0.64285714285714279</v>
      </c>
      <c r="W11" s="761">
        <f t="shared" si="8"/>
        <v>0.64285714285714279</v>
      </c>
      <c r="X11" s="761">
        <f t="shared" si="8"/>
        <v>0.64285714285714279</v>
      </c>
      <c r="Y11" s="761">
        <f t="shared" si="8"/>
        <v>0.64285714285714279</v>
      </c>
      <c r="Z11" s="761">
        <f t="shared" si="8"/>
        <v>0.64285714285714279</v>
      </c>
      <c r="AA11" s="761">
        <f t="shared" si="8"/>
        <v>0.64285714285714279</v>
      </c>
      <c r="AB11" s="761">
        <f t="shared" si="8"/>
        <v>0.64285714285714279</v>
      </c>
      <c r="AC11" s="761">
        <f t="shared" si="8"/>
        <v>0.64285714285714279</v>
      </c>
      <c r="AD11" s="761">
        <f t="shared" si="8"/>
        <v>0.64285714285714279</v>
      </c>
      <c r="AE11" s="761">
        <f t="shared" si="8"/>
        <v>0.64285714285714279</v>
      </c>
      <c r="AF11" s="661"/>
      <c r="AG11" s="662" t="s">
        <v>501</v>
      </c>
      <c r="AH11" s="764">
        <v>0.25</v>
      </c>
      <c r="AI11" s="766">
        <f>1*(1-AH11)*AI10</f>
        <v>0.64285714285714279</v>
      </c>
    </row>
    <row r="12" spans="1:35" x14ac:dyDescent="0.2">
      <c r="A12" s="656">
        <f>Trnsf!A15</f>
        <v>0</v>
      </c>
      <c r="C12" s="767" t="str">
        <f>IF(AF7&lt;0,"No Stock","OK")</f>
        <v>OK</v>
      </c>
      <c r="R12" s="659"/>
      <c r="S12" s="660" t="s">
        <v>499</v>
      </c>
      <c r="T12" s="759">
        <f>T10/T11</f>
        <v>0</v>
      </c>
      <c r="U12" s="759">
        <f t="shared" ref="U12:AE12" si="9">U10/U11</f>
        <v>0</v>
      </c>
      <c r="V12" s="759">
        <f t="shared" si="9"/>
        <v>0</v>
      </c>
      <c r="W12" s="759">
        <f t="shared" si="9"/>
        <v>0</v>
      </c>
      <c r="X12" s="759">
        <f t="shared" si="9"/>
        <v>0</v>
      </c>
      <c r="Y12" s="759">
        <f t="shared" si="9"/>
        <v>0</v>
      </c>
      <c r="Z12" s="759">
        <f t="shared" si="9"/>
        <v>0</v>
      </c>
      <c r="AA12" s="759">
        <f t="shared" si="9"/>
        <v>0</v>
      </c>
      <c r="AB12" s="759">
        <f t="shared" si="9"/>
        <v>0</v>
      </c>
      <c r="AC12" s="759">
        <f t="shared" si="9"/>
        <v>0</v>
      </c>
      <c r="AD12" s="759">
        <f t="shared" si="9"/>
        <v>0</v>
      </c>
      <c r="AE12" s="759">
        <f t="shared" si="9"/>
        <v>0</v>
      </c>
      <c r="AF12" s="661"/>
    </row>
    <row r="13" spans="1:35" x14ac:dyDescent="0.2">
      <c r="A13" s="656">
        <f>Trnsf!A16</f>
        <v>0</v>
      </c>
      <c r="C13" s="767" t="str">
        <f>IF(AF13&lt;0,"No Stock","OK")</f>
        <v>OK</v>
      </c>
      <c r="R13" s="659">
        <v>0</v>
      </c>
      <c r="S13" s="660" t="s">
        <v>453</v>
      </c>
      <c r="T13" s="666">
        <f>R13+T9-T12</f>
        <v>0</v>
      </c>
      <c r="U13" s="666">
        <f>T13+U9-U12</f>
        <v>0</v>
      </c>
      <c r="V13" s="666">
        <f t="shared" ref="V13:AE13" si="10">U13+V9-V12</f>
        <v>0</v>
      </c>
      <c r="W13" s="666">
        <f t="shared" si="10"/>
        <v>0</v>
      </c>
      <c r="X13" s="666">
        <f t="shared" si="10"/>
        <v>0</v>
      </c>
      <c r="Y13" s="666">
        <f t="shared" si="10"/>
        <v>0</v>
      </c>
      <c r="Z13" s="666">
        <f t="shared" si="10"/>
        <v>0</v>
      </c>
      <c r="AA13" s="666">
        <f t="shared" si="10"/>
        <v>0</v>
      </c>
      <c r="AB13" s="666">
        <f t="shared" si="10"/>
        <v>0</v>
      </c>
      <c r="AC13" s="666">
        <f t="shared" si="10"/>
        <v>0</v>
      </c>
      <c r="AD13" s="666">
        <f t="shared" si="10"/>
        <v>0</v>
      </c>
      <c r="AE13" s="666">
        <f t="shared" si="10"/>
        <v>0</v>
      </c>
      <c r="AF13" s="661">
        <f>MIN(T13:AE13)</f>
        <v>0</v>
      </c>
    </row>
    <row r="14" spans="1:35" x14ac:dyDescent="0.2">
      <c r="A14" s="656">
        <f>Trnsf!A17</f>
        <v>0</v>
      </c>
      <c r="C14" s="767" t="str">
        <f>IF(AF19&lt;0,"No Stock","OK")</f>
        <v>OK</v>
      </c>
      <c r="R14" s="659"/>
      <c r="S14" s="660"/>
      <c r="T14" s="660"/>
      <c r="U14" s="660"/>
      <c r="V14" s="660"/>
      <c r="W14" s="660"/>
      <c r="X14" s="660"/>
      <c r="Y14" s="660"/>
      <c r="Z14" s="660"/>
      <c r="AA14" s="660"/>
      <c r="AB14" s="660"/>
      <c r="AC14" s="660"/>
      <c r="AD14" s="660"/>
      <c r="AE14" s="660"/>
      <c r="AF14" s="661"/>
    </row>
    <row r="15" spans="1:35" ht="13.5" thickBot="1" x14ac:dyDescent="0.25">
      <c r="A15" s="656">
        <f>Trnsf!A18</f>
        <v>0</v>
      </c>
      <c r="C15" s="767"/>
      <c r="P15" s="2">
        <f>SUM('P2 Supps'!D64:O64)-'P2 Feeding'!B16</f>
        <v>0</v>
      </c>
      <c r="R15" s="667">
        <f>Trnsf!A17</f>
        <v>0</v>
      </c>
      <c r="S15" s="660" t="s">
        <v>492</v>
      </c>
      <c r="T15" s="660">
        <f>Trnsf!D17</f>
        <v>0</v>
      </c>
      <c r="U15" s="660">
        <f>Trnsf!E17</f>
        <v>0</v>
      </c>
      <c r="V15" s="660">
        <f>Trnsf!F17</f>
        <v>0</v>
      </c>
      <c r="W15" s="660">
        <f>Trnsf!G17</f>
        <v>0</v>
      </c>
      <c r="X15" s="660">
        <f>Trnsf!H17</f>
        <v>0</v>
      </c>
      <c r="Y15" s="660">
        <f>Trnsf!I17</f>
        <v>0</v>
      </c>
      <c r="Z15" s="660">
        <f>Trnsf!J17</f>
        <v>0</v>
      </c>
      <c r="AA15" s="660">
        <f>Trnsf!K17</f>
        <v>0</v>
      </c>
      <c r="AB15" s="660">
        <f>Trnsf!L17</f>
        <v>0</v>
      </c>
      <c r="AC15" s="660">
        <f>Trnsf!M17</f>
        <v>0</v>
      </c>
      <c r="AD15" s="660">
        <f>Trnsf!N17</f>
        <v>0</v>
      </c>
      <c r="AE15" s="660">
        <f>Trnsf!O17</f>
        <v>0</v>
      </c>
      <c r="AF15" s="661">
        <f t="shared" ref="AF15:AF16" si="11">SUM(T15:AE15)</f>
        <v>0</v>
      </c>
    </row>
    <row r="16" spans="1:35" ht="13.5" thickBot="1" x14ac:dyDescent="0.25">
      <c r="A16" s="657" t="str">
        <f>'P2 Area'!P12</f>
        <v>Irr - Crop 1 (Lucern)</v>
      </c>
      <c r="B16" s="2">
        <f t="shared" si="1"/>
        <v>0</v>
      </c>
      <c r="C16" s="658" t="str">
        <f>IF('P2 Supps'!A67&lt;0,"No Stock","OK")</f>
        <v>OK</v>
      </c>
      <c r="P16" s="2">
        <f>SUM('P2 Supps'!D74:O74)-'P2 Feeding'!B17</f>
        <v>0</v>
      </c>
      <c r="R16" s="659"/>
      <c r="S16" s="660" t="s">
        <v>497</v>
      </c>
      <c r="T16" s="664">
        <f>D14</f>
        <v>0</v>
      </c>
      <c r="U16" s="664">
        <f t="shared" ref="U16:AE16" si="12">E14</f>
        <v>0</v>
      </c>
      <c r="V16" s="664">
        <f t="shared" si="12"/>
        <v>0</v>
      </c>
      <c r="W16" s="664">
        <f t="shared" si="12"/>
        <v>0</v>
      </c>
      <c r="X16" s="664">
        <f t="shared" si="12"/>
        <v>0</v>
      </c>
      <c r="Y16" s="664">
        <f t="shared" si="12"/>
        <v>0</v>
      </c>
      <c r="Z16" s="664">
        <f t="shared" si="12"/>
        <v>0</v>
      </c>
      <c r="AA16" s="664">
        <f t="shared" si="12"/>
        <v>0</v>
      </c>
      <c r="AB16" s="664">
        <f t="shared" si="12"/>
        <v>0</v>
      </c>
      <c r="AC16" s="664">
        <f t="shared" si="12"/>
        <v>0</v>
      </c>
      <c r="AD16" s="664">
        <f t="shared" si="12"/>
        <v>0</v>
      </c>
      <c r="AE16" s="664">
        <f t="shared" si="12"/>
        <v>0</v>
      </c>
      <c r="AF16" s="661">
        <f t="shared" si="11"/>
        <v>0</v>
      </c>
      <c r="AG16" s="763" t="s">
        <v>500</v>
      </c>
      <c r="AH16" s="762">
        <v>9</v>
      </c>
      <c r="AI16" s="765">
        <f>AH16/10.5</f>
        <v>0.8571428571428571</v>
      </c>
    </row>
    <row r="17" spans="1:35" ht="13.5" thickBot="1" x14ac:dyDescent="0.25">
      <c r="A17" s="657" t="str">
        <f>'P2 Area'!P13</f>
        <v>Irr - Crop 2 (Oats)</v>
      </c>
      <c r="B17" s="2">
        <f t="shared" si="1"/>
        <v>0</v>
      </c>
      <c r="C17" s="658" t="str">
        <f>IF('P2 Supps'!A77&lt;0,"No Stock","OK")</f>
        <v>OK</v>
      </c>
      <c r="P17" s="2">
        <f>SUM('P2 Supps'!D84:O84)-'P2 Feeding'!B18</f>
        <v>0</v>
      </c>
      <c r="R17" s="758"/>
      <c r="S17" s="660" t="s">
        <v>498</v>
      </c>
      <c r="T17" s="761">
        <f>AI17</f>
        <v>0.64285714285714279</v>
      </c>
      <c r="U17" s="761">
        <f>T17</f>
        <v>0.64285714285714279</v>
      </c>
      <c r="V17" s="761">
        <f t="shared" ref="V17:AE17" si="13">U17</f>
        <v>0.64285714285714279</v>
      </c>
      <c r="W17" s="761">
        <f t="shared" si="13"/>
        <v>0.64285714285714279</v>
      </c>
      <c r="X17" s="761">
        <f t="shared" si="13"/>
        <v>0.64285714285714279</v>
      </c>
      <c r="Y17" s="761">
        <f t="shared" si="13"/>
        <v>0.64285714285714279</v>
      </c>
      <c r="Z17" s="761">
        <f t="shared" si="13"/>
        <v>0.64285714285714279</v>
      </c>
      <c r="AA17" s="761">
        <f t="shared" si="13"/>
        <v>0.64285714285714279</v>
      </c>
      <c r="AB17" s="761">
        <f t="shared" si="13"/>
        <v>0.64285714285714279</v>
      </c>
      <c r="AC17" s="761">
        <f t="shared" si="13"/>
        <v>0.64285714285714279</v>
      </c>
      <c r="AD17" s="761">
        <f t="shared" si="13"/>
        <v>0.64285714285714279</v>
      </c>
      <c r="AE17" s="761">
        <f t="shared" si="13"/>
        <v>0.64285714285714279</v>
      </c>
      <c r="AF17" s="148"/>
      <c r="AG17" s="662" t="s">
        <v>501</v>
      </c>
      <c r="AH17" s="764">
        <v>0.25</v>
      </c>
      <c r="AI17" s="766">
        <f>1*(1-AH17)*AI16</f>
        <v>0.64285714285714279</v>
      </c>
    </row>
    <row r="18" spans="1:35" x14ac:dyDescent="0.2">
      <c r="A18" s="657" t="str">
        <f>'P2 Area'!P14</f>
        <v>Irr - Crop 3 (Sorgum)</v>
      </c>
      <c r="B18" s="2">
        <f t="shared" si="1"/>
        <v>0</v>
      </c>
      <c r="C18" s="658" t="str">
        <f>IF('P2 Supps'!A87&lt;0,"No Stock","OK")</f>
        <v>OK</v>
      </c>
      <c r="P18" s="2">
        <f>SUM('P2 Supps'!D94:O94)-'P2 Feeding'!B19</f>
        <v>0</v>
      </c>
      <c r="R18" s="758"/>
      <c r="S18" s="660" t="s">
        <v>499</v>
      </c>
      <c r="T18" s="759">
        <f>T16/T17</f>
        <v>0</v>
      </c>
      <c r="U18" s="759">
        <f t="shared" ref="U18:AE18" si="14">U16/U17</f>
        <v>0</v>
      </c>
      <c r="V18" s="759">
        <f t="shared" si="14"/>
        <v>0</v>
      </c>
      <c r="W18" s="759">
        <f t="shared" si="14"/>
        <v>0</v>
      </c>
      <c r="X18" s="759">
        <f t="shared" si="14"/>
        <v>0</v>
      </c>
      <c r="Y18" s="759">
        <f t="shared" si="14"/>
        <v>0</v>
      </c>
      <c r="Z18" s="759">
        <f t="shared" si="14"/>
        <v>0</v>
      </c>
      <c r="AA18" s="759">
        <f t="shared" si="14"/>
        <v>0</v>
      </c>
      <c r="AB18" s="759">
        <f t="shared" si="14"/>
        <v>0</v>
      </c>
      <c r="AC18" s="759">
        <f t="shared" si="14"/>
        <v>0</v>
      </c>
      <c r="AD18" s="759">
        <f t="shared" si="14"/>
        <v>0</v>
      </c>
      <c r="AE18" s="759">
        <f t="shared" si="14"/>
        <v>0</v>
      </c>
      <c r="AF18" s="661"/>
    </row>
    <row r="19" spans="1:35" ht="13.5" thickBot="1" x14ac:dyDescent="0.25">
      <c r="A19" s="657" t="str">
        <f>'P2 Area'!P15</f>
        <v>Dry - Crop 1</v>
      </c>
      <c r="B19" s="2">
        <f t="shared" si="1"/>
        <v>0</v>
      </c>
      <c r="C19" s="658" t="str">
        <f>IF('P2 Supps'!A97&lt;0,"No Stock","OK")</f>
        <v>OK</v>
      </c>
      <c r="D19" s="12"/>
      <c r="E19" s="12"/>
      <c r="F19" s="12"/>
      <c r="G19" s="12"/>
      <c r="H19" s="12"/>
      <c r="I19" s="12"/>
      <c r="J19" s="12"/>
      <c r="K19" s="12"/>
      <c r="L19" s="12"/>
      <c r="M19" s="12"/>
      <c r="N19" s="12"/>
      <c r="P19" s="2">
        <f>SUM('P2 Supps'!D103:O103)-'P2 Feeding'!B20</f>
        <v>0</v>
      </c>
      <c r="R19" s="662">
        <v>0</v>
      </c>
      <c r="S19" s="663" t="s">
        <v>453</v>
      </c>
      <c r="T19" s="673">
        <f>R19+T15-T18</f>
        <v>0</v>
      </c>
      <c r="U19" s="673">
        <f>T19+U15-U18</f>
        <v>0</v>
      </c>
      <c r="V19" s="673">
        <f t="shared" ref="V19:AE19" si="15">U19+V15-V18</f>
        <v>0</v>
      </c>
      <c r="W19" s="673">
        <f t="shared" si="15"/>
        <v>0</v>
      </c>
      <c r="X19" s="673">
        <f t="shared" si="15"/>
        <v>0</v>
      </c>
      <c r="Y19" s="673">
        <f t="shared" si="15"/>
        <v>0</v>
      </c>
      <c r="Z19" s="673">
        <f t="shared" si="15"/>
        <v>0</v>
      </c>
      <c r="AA19" s="673">
        <f t="shared" si="15"/>
        <v>0</v>
      </c>
      <c r="AB19" s="673">
        <f t="shared" si="15"/>
        <v>0</v>
      </c>
      <c r="AC19" s="673">
        <f t="shared" si="15"/>
        <v>0</v>
      </c>
      <c r="AD19" s="673">
        <f t="shared" si="15"/>
        <v>0</v>
      </c>
      <c r="AE19" s="673">
        <f t="shared" si="15"/>
        <v>0</v>
      </c>
      <c r="AF19" s="155">
        <f>MIN(T19:AE19)</f>
        <v>0</v>
      </c>
    </row>
    <row r="20" spans="1:35" x14ac:dyDescent="0.2">
      <c r="A20" s="657" t="str">
        <f>'P2 Area'!P16</f>
        <v>Dry - Crop 2</v>
      </c>
      <c r="B20" s="2">
        <f t="shared" si="1"/>
        <v>0</v>
      </c>
      <c r="C20" s="658" t="str">
        <f>IF('P2 Supps'!A106&lt;0,"No Stock","OK")</f>
        <v>OK</v>
      </c>
      <c r="P20" s="2">
        <f>SUM('P1 Supps'!D112:O112)-'P1 Feeding'!B21</f>
        <v>0</v>
      </c>
    </row>
    <row r="21" spans="1:35" x14ac:dyDescent="0.2">
      <c r="A21" s="657" t="str">
        <f>'P2 Area'!P17</f>
        <v>Dry - Crop 3</v>
      </c>
      <c r="B21" s="2">
        <f t="shared" si="1"/>
        <v>0</v>
      </c>
      <c r="C21" s="658" t="str">
        <f>IF('P2 Supps'!A115&lt;0,"No Stock","OK")</f>
        <v>OK</v>
      </c>
    </row>
    <row r="22" spans="1:35" x14ac:dyDescent="0.2">
      <c r="A22" s="657" t="s">
        <v>454</v>
      </c>
      <c r="B22" s="2">
        <f t="shared" si="1"/>
        <v>0</v>
      </c>
      <c r="C22" s="658" t="str">
        <f>IF('P2 Supps'!O57&lt;0,"No Stock","OK")</f>
        <v>OK</v>
      </c>
      <c r="D22" s="654"/>
      <c r="E22" s="654"/>
      <c r="F22" s="654"/>
      <c r="G22" s="654"/>
      <c r="H22" s="654"/>
      <c r="I22" s="654"/>
      <c r="J22" s="654"/>
      <c r="K22" s="654"/>
      <c r="L22" s="654"/>
      <c r="M22" s="654"/>
      <c r="N22" s="654"/>
      <c r="O22" s="654"/>
    </row>
    <row r="23" spans="1:35" x14ac:dyDescent="0.2">
      <c r="A23" s="2" t="s">
        <v>453</v>
      </c>
      <c r="D23" s="637">
        <f t="shared" ref="D23:O23" si="16">SUM(D4:D22)-D3</f>
        <v>0</v>
      </c>
      <c r="E23" s="637">
        <f t="shared" si="16"/>
        <v>0</v>
      </c>
      <c r="F23" s="637">
        <f t="shared" si="16"/>
        <v>0</v>
      </c>
      <c r="G23" s="637">
        <f t="shared" si="16"/>
        <v>0</v>
      </c>
      <c r="H23" s="637">
        <f t="shared" si="16"/>
        <v>0</v>
      </c>
      <c r="I23" s="637">
        <f t="shared" si="16"/>
        <v>0</v>
      </c>
      <c r="J23" s="637">
        <f t="shared" si="16"/>
        <v>0</v>
      </c>
      <c r="K23" s="637">
        <f t="shared" si="16"/>
        <v>0</v>
      </c>
      <c r="L23" s="637">
        <f t="shared" si="16"/>
        <v>0</v>
      </c>
      <c r="M23" s="637">
        <f t="shared" si="16"/>
        <v>0</v>
      </c>
      <c r="N23" s="637">
        <f t="shared" si="16"/>
        <v>0</v>
      </c>
      <c r="O23" s="637">
        <f t="shared" si="16"/>
        <v>0</v>
      </c>
    </row>
    <row r="24" spans="1:35" x14ac:dyDescent="0.2">
      <c r="A24" s="2" t="s">
        <v>478</v>
      </c>
      <c r="D24" s="647">
        <f>'P2 Bal'!E112</f>
        <v>2000</v>
      </c>
      <c r="E24" s="647">
        <f>'P2 Bal'!F112</f>
        <v>2000</v>
      </c>
      <c r="F24" s="647">
        <f>'P2 Bal'!G112</f>
        <v>2000</v>
      </c>
      <c r="G24" s="647">
        <f>'P2 Bal'!H112</f>
        <v>2000</v>
      </c>
      <c r="H24" s="647">
        <f>'P2 Bal'!I112</f>
        <v>2000</v>
      </c>
      <c r="I24" s="647">
        <f>'P2 Bal'!J112</f>
        <v>2000</v>
      </c>
      <c r="J24" s="647">
        <f>'P2 Bal'!K112</f>
        <v>2000</v>
      </c>
      <c r="K24" s="647">
        <f>'P2 Bal'!L112</f>
        <v>2000</v>
      </c>
      <c r="L24" s="647">
        <f>'P2 Bal'!M112</f>
        <v>2000</v>
      </c>
      <c r="M24" s="647">
        <f>'P2 Bal'!N112</f>
        <v>2000</v>
      </c>
      <c r="N24" s="647">
        <f>'P2 Bal'!O112</f>
        <v>2000</v>
      </c>
      <c r="O24" s="647">
        <f>'P2 Bal'!P112</f>
        <v>2000</v>
      </c>
    </row>
    <row r="25" spans="1:35" x14ac:dyDescent="0.2">
      <c r="D25" s="647"/>
      <c r="E25" s="647"/>
      <c r="F25" s="647"/>
      <c r="G25" s="647"/>
      <c r="H25" s="647"/>
      <c r="I25" s="647"/>
      <c r="J25" s="647"/>
      <c r="K25" s="647"/>
      <c r="L25" s="647"/>
      <c r="M25" s="647"/>
      <c r="N25" s="647"/>
      <c r="O25" s="647"/>
    </row>
    <row r="26" spans="1:35" x14ac:dyDescent="0.2">
      <c r="A26" s="638" t="s">
        <v>314</v>
      </c>
    </row>
    <row r="27" spans="1:35" x14ac:dyDescent="0.2">
      <c r="A27" s="2" t="str">
        <f>'P2 Bal'!C73</f>
        <v>Cows in Milk</v>
      </c>
      <c r="D27" s="370">
        <v>2</v>
      </c>
      <c r="E27" s="370">
        <v>2</v>
      </c>
      <c r="F27" s="370">
        <v>2</v>
      </c>
      <c r="G27" s="370">
        <v>2</v>
      </c>
      <c r="H27" s="370">
        <v>2</v>
      </c>
      <c r="I27" s="370">
        <v>3.5</v>
      </c>
      <c r="J27" s="370">
        <v>3.5</v>
      </c>
      <c r="K27" s="370">
        <v>4</v>
      </c>
      <c r="L27" s="370">
        <v>4.5</v>
      </c>
      <c r="M27" s="370">
        <v>5</v>
      </c>
      <c r="N27" s="370">
        <v>5</v>
      </c>
      <c r="O27" s="370">
        <v>4</v>
      </c>
    </row>
    <row r="28" spans="1:35" x14ac:dyDescent="0.2">
      <c r="A28" s="2" t="s">
        <v>496</v>
      </c>
      <c r="D28" s="756">
        <f>'P2 CF'!C26-'P2 Feeding'!D27</f>
        <v>12.7</v>
      </c>
      <c r="E28" s="756">
        <f>'P2 CF'!D26-'P2 Feeding'!E27</f>
        <v>12.2</v>
      </c>
      <c r="F28" s="756">
        <f>'P2 CF'!E26-'P2 Feeding'!F27</f>
        <v>11.7</v>
      </c>
      <c r="G28" s="756">
        <f>'P2 CF'!F26-'P2 Feeding'!G27</f>
        <v>11.2</v>
      </c>
      <c r="H28" s="756">
        <f>'P2 CF'!G26-'P2 Feeding'!H27</f>
        <v>10.199999999999999</v>
      </c>
      <c r="I28" s="756">
        <f>'P2 CF'!H26-'P2 Feeding'!I27</f>
        <v>10.7</v>
      </c>
      <c r="J28" s="756">
        <f>'P2 CF'!I26-'P2 Feeding'!J27</f>
        <v>11.7</v>
      </c>
      <c r="K28" s="756">
        <f>'P2 CF'!J26-'P2 Feeding'!K27</f>
        <v>12.7</v>
      </c>
      <c r="L28" s="756">
        <f>'P2 CF'!K26-'P2 Feeding'!L27</f>
        <v>11.7</v>
      </c>
      <c r="M28" s="756">
        <f>'P2 CF'!L26-'P2 Feeding'!M27</f>
        <v>10.7</v>
      </c>
      <c r="N28" s="756">
        <f>'P2 CF'!M26-'P2 Feeding'!N27</f>
        <v>10.199999999999999</v>
      </c>
      <c r="O28" s="756">
        <f>'P2 CF'!N26-'P2 Feeding'!O27</f>
        <v>10.7</v>
      </c>
    </row>
    <row r="29" spans="1:35" x14ac:dyDescent="0.2">
      <c r="A29" s="2" t="str">
        <f>'P2 Bal'!C74</f>
        <v>Dry Cows</v>
      </c>
      <c r="D29" s="370">
        <v>1</v>
      </c>
      <c r="E29" s="370">
        <f>D29</f>
        <v>1</v>
      </c>
      <c r="F29" s="370">
        <f t="shared" ref="F29:O29" si="17">E29</f>
        <v>1</v>
      </c>
      <c r="G29" s="370">
        <f t="shared" si="17"/>
        <v>1</v>
      </c>
      <c r="H29" s="370">
        <f t="shared" si="17"/>
        <v>1</v>
      </c>
      <c r="I29" s="370">
        <f t="shared" si="17"/>
        <v>1</v>
      </c>
      <c r="J29" s="370">
        <f t="shared" si="17"/>
        <v>1</v>
      </c>
      <c r="K29" s="370">
        <f t="shared" si="17"/>
        <v>1</v>
      </c>
      <c r="L29" s="370">
        <f t="shared" si="17"/>
        <v>1</v>
      </c>
      <c r="M29" s="370">
        <f t="shared" si="17"/>
        <v>1</v>
      </c>
      <c r="N29" s="370">
        <f t="shared" si="17"/>
        <v>1</v>
      </c>
      <c r="O29" s="370">
        <f t="shared" si="17"/>
        <v>1</v>
      </c>
    </row>
    <row r="30" spans="1:35" x14ac:dyDescent="0.2">
      <c r="A30" s="2" t="str">
        <f>'P2 Bal'!C75</f>
        <v>Heifers in Calf</v>
      </c>
      <c r="D30" s="370">
        <v>0</v>
      </c>
      <c r="E30" s="370">
        <f t="shared" ref="E30:O30" si="18">D30</f>
        <v>0</v>
      </c>
      <c r="F30" s="370">
        <f t="shared" si="18"/>
        <v>0</v>
      </c>
      <c r="G30" s="370">
        <f t="shared" si="18"/>
        <v>0</v>
      </c>
      <c r="H30" s="370">
        <f t="shared" si="18"/>
        <v>0</v>
      </c>
      <c r="I30" s="370">
        <f t="shared" si="18"/>
        <v>0</v>
      </c>
      <c r="J30" s="370">
        <f t="shared" si="18"/>
        <v>0</v>
      </c>
      <c r="K30" s="370">
        <f t="shared" si="18"/>
        <v>0</v>
      </c>
      <c r="L30" s="370">
        <f t="shared" si="18"/>
        <v>0</v>
      </c>
      <c r="M30" s="370">
        <f t="shared" si="18"/>
        <v>0</v>
      </c>
      <c r="N30" s="370">
        <f t="shared" si="18"/>
        <v>0</v>
      </c>
      <c r="O30" s="370">
        <f t="shared" si="18"/>
        <v>0</v>
      </c>
    </row>
    <row r="31" spans="1:35" x14ac:dyDescent="0.2">
      <c r="A31" s="2" t="str">
        <f>'P2 Bal'!C76</f>
        <v>Post-Weaned Heifers</v>
      </c>
      <c r="D31" s="370">
        <v>2</v>
      </c>
      <c r="E31" s="370">
        <f>D31</f>
        <v>2</v>
      </c>
      <c r="F31" s="370">
        <f t="shared" ref="F31:O32" si="19">E31</f>
        <v>2</v>
      </c>
      <c r="G31" s="370">
        <v>0</v>
      </c>
      <c r="H31" s="370">
        <f t="shared" si="19"/>
        <v>0</v>
      </c>
      <c r="I31" s="370">
        <f t="shared" si="19"/>
        <v>0</v>
      </c>
      <c r="J31" s="370">
        <f>I31</f>
        <v>0</v>
      </c>
      <c r="K31" s="370">
        <f t="shared" si="19"/>
        <v>0</v>
      </c>
      <c r="L31" s="370">
        <f t="shared" si="19"/>
        <v>0</v>
      </c>
      <c r="M31" s="370">
        <f t="shared" si="19"/>
        <v>0</v>
      </c>
      <c r="N31" s="370">
        <f t="shared" si="19"/>
        <v>0</v>
      </c>
      <c r="O31" s="370">
        <f t="shared" si="19"/>
        <v>0</v>
      </c>
    </row>
    <row r="32" spans="1:35" x14ac:dyDescent="0.2">
      <c r="A32" s="2" t="str">
        <f>'P2 Bal'!C77</f>
        <v>Pre-Weaned Heifers</v>
      </c>
      <c r="D32" s="370">
        <v>2.5</v>
      </c>
      <c r="E32" s="370">
        <f>D32</f>
        <v>2.5</v>
      </c>
      <c r="F32" s="370">
        <f t="shared" si="19"/>
        <v>2.5</v>
      </c>
      <c r="G32" s="370">
        <f t="shared" si="19"/>
        <v>2.5</v>
      </c>
      <c r="H32" s="370">
        <f t="shared" si="19"/>
        <v>2.5</v>
      </c>
      <c r="I32" s="370">
        <f t="shared" si="19"/>
        <v>2.5</v>
      </c>
      <c r="J32" s="370">
        <f t="shared" si="19"/>
        <v>2.5</v>
      </c>
      <c r="K32" s="370">
        <f t="shared" si="19"/>
        <v>2.5</v>
      </c>
      <c r="L32" s="370">
        <f t="shared" si="19"/>
        <v>2.5</v>
      </c>
      <c r="M32" s="370">
        <f t="shared" si="19"/>
        <v>2.5</v>
      </c>
      <c r="N32" s="370">
        <f t="shared" si="19"/>
        <v>2.5</v>
      </c>
      <c r="O32" s="370">
        <f t="shared" si="19"/>
        <v>2.5</v>
      </c>
    </row>
    <row r="33" spans="1:1" x14ac:dyDescent="0.2">
      <c r="A33" s="2" t="str">
        <f>'P2 Bal'!C78</f>
        <v>Bull calves</v>
      </c>
    </row>
    <row r="34" spans="1:1" x14ac:dyDescent="0.2">
      <c r="A34" s="2" t="str">
        <f>'P2 Bal'!C79</f>
        <v>Bulls (12-24 mth)</v>
      </c>
    </row>
    <row r="35" spans="1:1" x14ac:dyDescent="0.2">
      <c r="A35" s="2" t="str">
        <f>'P2 Bal'!C80</f>
        <v>Bulls (Mature)</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2"/>
  <sheetViews>
    <sheetView showGridLines="0" workbookViewId="0">
      <selection activeCell="G12" sqref="G12"/>
    </sheetView>
  </sheetViews>
  <sheetFormatPr defaultColWidth="8.1640625" defaultRowHeight="12.75" x14ac:dyDescent="0.2"/>
  <cols>
    <col min="2" max="2" width="34" customWidth="1"/>
    <col min="3" max="3" width="16" customWidth="1"/>
    <col min="4" max="15" width="10.6640625" customWidth="1"/>
  </cols>
  <sheetData>
    <row r="1" spans="1:15" ht="18.75" x14ac:dyDescent="0.3">
      <c r="B1" s="11" t="s">
        <v>288</v>
      </c>
      <c r="C1" s="11"/>
    </row>
    <row r="2" spans="1:15" s="442" customFormat="1" ht="12" x14ac:dyDescent="0.2">
      <c r="B2" s="439"/>
      <c r="C2" s="439"/>
    </row>
    <row r="3" spans="1:15" ht="15.75" x14ac:dyDescent="0.25">
      <c r="B3" s="284" t="s">
        <v>175</v>
      </c>
      <c r="C3" s="286"/>
    </row>
    <row r="4" spans="1:15" s="442" customFormat="1" thickBot="1" x14ac:dyDescent="0.25">
      <c r="B4" s="440"/>
      <c r="C4" s="440"/>
    </row>
    <row r="5" spans="1:15" x14ac:dyDescent="0.2">
      <c r="B5" s="20" t="s">
        <v>28</v>
      </c>
      <c r="C5" s="20"/>
      <c r="D5" s="19" t="s">
        <v>10</v>
      </c>
      <c r="E5" s="19" t="s">
        <v>11</v>
      </c>
      <c r="F5" s="19" t="s">
        <v>12</v>
      </c>
      <c r="G5" s="19" t="s">
        <v>13</v>
      </c>
      <c r="H5" s="19" t="s">
        <v>2</v>
      </c>
      <c r="I5" s="19" t="s">
        <v>3</v>
      </c>
      <c r="J5" s="19" t="s">
        <v>4</v>
      </c>
      <c r="K5" s="19" t="s">
        <v>5</v>
      </c>
      <c r="L5" s="19" t="s">
        <v>6</v>
      </c>
      <c r="M5" s="19" t="s">
        <v>7</v>
      </c>
      <c r="N5" s="19" t="s">
        <v>8</v>
      </c>
      <c r="O5" s="19" t="s">
        <v>9</v>
      </c>
    </row>
    <row r="6" spans="1:15" x14ac:dyDescent="0.2">
      <c r="A6" s="833" t="s">
        <v>483</v>
      </c>
      <c r="B6" s="267" t="str">
        <f>'P1 Area'!P7</f>
        <v>Irr - Kik/Chic/Oats</v>
      </c>
      <c r="C6" s="126" t="s">
        <v>23</v>
      </c>
      <c r="D6" s="334">
        <f>'P1 Bal'!E44</f>
        <v>0</v>
      </c>
      <c r="E6" s="334">
        <f>'P1 Bal'!F44</f>
        <v>0</v>
      </c>
      <c r="F6" s="334">
        <f>'P1 Bal'!G44</f>
        <v>0</v>
      </c>
      <c r="G6" s="334">
        <f>'P1 Bal'!H44</f>
        <v>0</v>
      </c>
      <c r="H6" s="334">
        <f>'P1 Bal'!I44</f>
        <v>0</v>
      </c>
      <c r="I6" s="334">
        <f>'P1 Bal'!J44</f>
        <v>0</v>
      </c>
      <c r="J6" s="334">
        <f>'P1 Bal'!K44</f>
        <v>0</v>
      </c>
      <c r="K6" s="334">
        <f>'P1 Bal'!L44</f>
        <v>0</v>
      </c>
      <c r="L6" s="334">
        <f>'P1 Bal'!M44</f>
        <v>0</v>
      </c>
      <c r="M6" s="334">
        <f>'P1 Bal'!N44</f>
        <v>0</v>
      </c>
      <c r="N6" s="334">
        <f>'P1 Bal'!O44</f>
        <v>0</v>
      </c>
      <c r="O6" s="334">
        <f>'P1 Bal'!P44</f>
        <v>0</v>
      </c>
    </row>
    <row r="7" spans="1:15" x14ac:dyDescent="0.2">
      <c r="A7" s="833"/>
      <c r="B7" s="127" t="str">
        <f>'P1 Area'!P8</f>
        <v>Dry - Kik/Chic/Oats</v>
      </c>
      <c r="C7" s="128" t="s">
        <v>23</v>
      </c>
      <c r="D7" s="335">
        <f>'P1 Bal'!E45</f>
        <v>0</v>
      </c>
      <c r="E7" s="335">
        <f>'P1 Bal'!F45</f>
        <v>0</v>
      </c>
      <c r="F7" s="335">
        <f>'P1 Bal'!G45</f>
        <v>0</v>
      </c>
      <c r="G7" s="335">
        <f>'P1 Bal'!H45</f>
        <v>0</v>
      </c>
      <c r="H7" s="335">
        <f>'P1 Bal'!I45</f>
        <v>0</v>
      </c>
      <c r="I7" s="335">
        <f>'P1 Bal'!J45</f>
        <v>0</v>
      </c>
      <c r="J7" s="335">
        <f>'P1 Bal'!K45</f>
        <v>0</v>
      </c>
      <c r="K7" s="335">
        <f>'P1 Bal'!L45</f>
        <v>0</v>
      </c>
      <c r="L7" s="335">
        <f>'P1 Bal'!M45</f>
        <v>0</v>
      </c>
      <c r="M7" s="335">
        <f>'P1 Bal'!N45</f>
        <v>0</v>
      </c>
      <c r="N7" s="335">
        <f>'P1 Bal'!O45</f>
        <v>0</v>
      </c>
      <c r="O7" s="335">
        <f>'P1 Bal'!P45</f>
        <v>0</v>
      </c>
    </row>
    <row r="8" spans="1:15" x14ac:dyDescent="0.2">
      <c r="A8" s="833"/>
      <c r="B8" s="127" t="str">
        <f>'P1 Area'!P9</f>
        <v>Dry - Kik</v>
      </c>
      <c r="C8" s="128" t="s">
        <v>23</v>
      </c>
      <c r="D8" s="335">
        <f>'P1 Bal'!E46</f>
        <v>0</v>
      </c>
      <c r="E8" s="335">
        <f>'P1 Bal'!F46</f>
        <v>0</v>
      </c>
      <c r="F8" s="335">
        <f>'P1 Bal'!G46</f>
        <v>0</v>
      </c>
      <c r="G8" s="335">
        <f>'P1 Bal'!H46</f>
        <v>0</v>
      </c>
      <c r="H8" s="335">
        <f>'P1 Bal'!I46</f>
        <v>0</v>
      </c>
      <c r="I8" s="335">
        <f>'P1 Bal'!J46</f>
        <v>0</v>
      </c>
      <c r="J8" s="335">
        <f>'P1 Bal'!K46</f>
        <v>0</v>
      </c>
      <c r="K8" s="335">
        <f>'P1 Bal'!L46</f>
        <v>0</v>
      </c>
      <c r="L8" s="335">
        <f>'P1 Bal'!M46</f>
        <v>0</v>
      </c>
      <c r="M8" s="335">
        <f>'P1 Bal'!N46</f>
        <v>0</v>
      </c>
      <c r="N8" s="335">
        <f>'P1 Bal'!O46</f>
        <v>0</v>
      </c>
      <c r="O8" s="335">
        <f>'P1 Bal'!P46</f>
        <v>0</v>
      </c>
    </row>
    <row r="9" spans="1:15" x14ac:dyDescent="0.2">
      <c r="A9" s="833"/>
      <c r="B9" s="127">
        <f>'P1 Area'!P10</f>
        <v>0</v>
      </c>
      <c r="C9" s="128" t="s">
        <v>23</v>
      </c>
      <c r="D9" s="335">
        <f>'P1 Bal'!E47</f>
        <v>0</v>
      </c>
      <c r="E9" s="335">
        <f>'P1 Bal'!F47</f>
        <v>0</v>
      </c>
      <c r="F9" s="335">
        <f>'P1 Bal'!G47</f>
        <v>0</v>
      </c>
      <c r="G9" s="335">
        <f>'P1 Bal'!H47</f>
        <v>0</v>
      </c>
      <c r="H9" s="335">
        <f>'P1 Bal'!I47</f>
        <v>0</v>
      </c>
      <c r="I9" s="335">
        <f>'P1 Bal'!J47</f>
        <v>0</v>
      </c>
      <c r="J9" s="335">
        <f>'P1 Bal'!K47</f>
        <v>0</v>
      </c>
      <c r="K9" s="335">
        <f>'P1 Bal'!L47</f>
        <v>0</v>
      </c>
      <c r="L9" s="335">
        <f>'P1 Bal'!M47</f>
        <v>0</v>
      </c>
      <c r="M9" s="335">
        <f>'P1 Bal'!N47</f>
        <v>0</v>
      </c>
      <c r="N9" s="335">
        <f>'P1 Bal'!O47</f>
        <v>0</v>
      </c>
      <c r="O9" s="335">
        <f>'P1 Bal'!P47</f>
        <v>0</v>
      </c>
    </row>
    <row r="10" spans="1:15" x14ac:dyDescent="0.2">
      <c r="A10" s="833"/>
      <c r="B10" s="127">
        <f>'P1 Area'!P11</f>
        <v>0</v>
      </c>
      <c r="C10" s="128" t="s">
        <v>23</v>
      </c>
      <c r="D10" s="335">
        <f>'P1 Bal'!E48</f>
        <v>0</v>
      </c>
      <c r="E10" s="335">
        <f>'P1 Bal'!F48</f>
        <v>0</v>
      </c>
      <c r="F10" s="335">
        <f>'P1 Bal'!G48</f>
        <v>0</v>
      </c>
      <c r="G10" s="335">
        <f>'P1 Bal'!H48</f>
        <v>0</v>
      </c>
      <c r="H10" s="335">
        <f>'P1 Bal'!I48</f>
        <v>0</v>
      </c>
      <c r="I10" s="335">
        <f>'P1 Bal'!J48</f>
        <v>0</v>
      </c>
      <c r="J10" s="335">
        <f>'P1 Bal'!K48</f>
        <v>0</v>
      </c>
      <c r="K10" s="335">
        <f>'P1 Bal'!L48</f>
        <v>0</v>
      </c>
      <c r="L10" s="335">
        <f>'P1 Bal'!M48</f>
        <v>0</v>
      </c>
      <c r="M10" s="335">
        <f>'P1 Bal'!N48</f>
        <v>0</v>
      </c>
      <c r="N10" s="335">
        <f>'P1 Bal'!O48</f>
        <v>0</v>
      </c>
      <c r="O10" s="335">
        <f>'P1 Bal'!P48</f>
        <v>0</v>
      </c>
    </row>
    <row r="11" spans="1:15" x14ac:dyDescent="0.2">
      <c r="A11" s="834" t="s">
        <v>486</v>
      </c>
      <c r="B11" s="127" t="str">
        <f>'P2 Area'!P7</f>
        <v>Irr - Hi - Pasture</v>
      </c>
      <c r="C11" s="128" t="s">
        <v>23</v>
      </c>
      <c r="D11" s="335">
        <f>'P2 Bal'!E44</f>
        <v>0</v>
      </c>
      <c r="E11" s="335">
        <f>'P2 Bal'!F44</f>
        <v>0</v>
      </c>
      <c r="F11" s="335">
        <f>'P2 Bal'!G44</f>
        <v>0</v>
      </c>
      <c r="G11" s="335">
        <f>'P2 Bal'!H44</f>
        <v>0</v>
      </c>
      <c r="H11" s="335">
        <f>'P2 Bal'!I44</f>
        <v>0</v>
      </c>
      <c r="I11" s="335">
        <f>'P2 Bal'!J44</f>
        <v>0</v>
      </c>
      <c r="J11" s="335">
        <f>'P2 Bal'!K44</f>
        <v>0</v>
      </c>
      <c r="K11" s="335">
        <f>'P2 Bal'!L44</f>
        <v>0</v>
      </c>
      <c r="L11" s="335">
        <f>'P2 Bal'!M44</f>
        <v>0</v>
      </c>
      <c r="M11" s="335">
        <f>'P2 Bal'!N44</f>
        <v>0</v>
      </c>
      <c r="N11" s="335">
        <f>'P2 Bal'!O44</f>
        <v>0</v>
      </c>
      <c r="O11" s="335">
        <f>'P2 Bal'!P44</f>
        <v>0</v>
      </c>
    </row>
    <row r="12" spans="1:15" x14ac:dyDescent="0.2">
      <c r="A12" s="834"/>
      <c r="B12" s="127" t="str">
        <f>'P2 Area'!P8</f>
        <v>Irr - Med - Pasture</v>
      </c>
      <c r="C12" s="128" t="s">
        <v>23</v>
      </c>
      <c r="D12" s="335">
        <f>'P2 Bal'!E45</f>
        <v>0</v>
      </c>
      <c r="E12" s="335">
        <f>'P2 Bal'!F45</f>
        <v>0</v>
      </c>
      <c r="F12" s="335">
        <f>'P2 Bal'!G45</f>
        <v>0</v>
      </c>
      <c r="G12" s="335">
        <f>'P2 Bal'!H45</f>
        <v>0</v>
      </c>
      <c r="H12" s="335">
        <f>'P2 Bal'!I45</f>
        <v>0</v>
      </c>
      <c r="I12" s="335">
        <f>'P2 Bal'!J45</f>
        <v>0</v>
      </c>
      <c r="J12" s="335">
        <f>'P2 Bal'!K45</f>
        <v>0</v>
      </c>
      <c r="K12" s="335">
        <f>'P2 Bal'!L45</f>
        <v>0</v>
      </c>
      <c r="L12" s="335">
        <f>'P2 Bal'!M45</f>
        <v>0</v>
      </c>
      <c r="M12" s="335">
        <f>'P2 Bal'!N45</f>
        <v>0</v>
      </c>
      <c r="N12" s="335">
        <f>'P2 Bal'!O45</f>
        <v>0</v>
      </c>
      <c r="O12" s="335">
        <f>'P2 Bal'!P45</f>
        <v>0</v>
      </c>
    </row>
    <row r="13" spans="1:15" x14ac:dyDescent="0.2">
      <c r="A13" s="834"/>
      <c r="B13" s="127" t="str">
        <f>'P2 Area'!P9</f>
        <v>Irr - Lo - Pasture</v>
      </c>
      <c r="C13" s="128" t="s">
        <v>23</v>
      </c>
      <c r="D13" s="335">
        <f>'P2 Bal'!E46</f>
        <v>0</v>
      </c>
      <c r="E13" s="335">
        <f>'P2 Bal'!F46</f>
        <v>0</v>
      </c>
      <c r="F13" s="335">
        <f>'P2 Bal'!G46</f>
        <v>0</v>
      </c>
      <c r="G13" s="335">
        <f>'P2 Bal'!H46</f>
        <v>0</v>
      </c>
      <c r="H13" s="335">
        <f>'P2 Bal'!I46</f>
        <v>0</v>
      </c>
      <c r="I13" s="335">
        <f>'P2 Bal'!J46</f>
        <v>0</v>
      </c>
      <c r="J13" s="335">
        <f>'P2 Bal'!K46</f>
        <v>0</v>
      </c>
      <c r="K13" s="335">
        <f>'P2 Bal'!L46</f>
        <v>0</v>
      </c>
      <c r="L13" s="335">
        <f>'P2 Bal'!M46</f>
        <v>0</v>
      </c>
      <c r="M13" s="335">
        <f>'P2 Bal'!N46</f>
        <v>0</v>
      </c>
      <c r="N13" s="335">
        <f>'P2 Bal'!O46</f>
        <v>0</v>
      </c>
      <c r="O13" s="335">
        <f>'P2 Bal'!P46</f>
        <v>0</v>
      </c>
    </row>
    <row r="14" spans="1:15" x14ac:dyDescent="0.2">
      <c r="A14" s="834"/>
      <c r="B14" s="127" t="str">
        <f>'P2 Area'!P10</f>
        <v>Dry - Pasture 1</v>
      </c>
      <c r="C14" s="128" t="s">
        <v>23</v>
      </c>
      <c r="D14" s="335">
        <f>'P2 Bal'!E47</f>
        <v>0</v>
      </c>
      <c r="E14" s="335">
        <f>'P2 Bal'!F47</f>
        <v>0</v>
      </c>
      <c r="F14" s="335">
        <f>'P2 Bal'!G47</f>
        <v>0</v>
      </c>
      <c r="G14" s="335">
        <f>'P2 Bal'!H47</f>
        <v>0</v>
      </c>
      <c r="H14" s="335">
        <f>'P2 Bal'!I47</f>
        <v>0</v>
      </c>
      <c r="I14" s="335">
        <f>'P2 Bal'!J47</f>
        <v>0</v>
      </c>
      <c r="J14" s="335">
        <f>'P2 Bal'!K47</f>
        <v>0</v>
      </c>
      <c r="K14" s="335">
        <f>'P2 Bal'!L47</f>
        <v>0</v>
      </c>
      <c r="L14" s="335">
        <f>'P2 Bal'!M47</f>
        <v>0</v>
      </c>
      <c r="M14" s="335">
        <f>'P2 Bal'!N47</f>
        <v>0</v>
      </c>
      <c r="N14" s="335">
        <f>'P2 Bal'!O47</f>
        <v>0</v>
      </c>
      <c r="O14" s="335">
        <f>'P2 Bal'!P47</f>
        <v>0</v>
      </c>
    </row>
    <row r="15" spans="1:15" x14ac:dyDescent="0.2">
      <c r="A15" s="834"/>
      <c r="B15" s="127" t="str">
        <f>'P2 Area'!P11</f>
        <v>Dry - Pasture 2</v>
      </c>
      <c r="C15" s="128" t="s">
        <v>23</v>
      </c>
      <c r="D15" s="335">
        <f>'P2 Bal'!E48</f>
        <v>0</v>
      </c>
      <c r="E15" s="335">
        <f>'P2 Bal'!F48</f>
        <v>0</v>
      </c>
      <c r="F15" s="335">
        <f>'P2 Bal'!G48</f>
        <v>0</v>
      </c>
      <c r="G15" s="335">
        <f>'P2 Bal'!H48</f>
        <v>0</v>
      </c>
      <c r="H15" s="335">
        <f>'P2 Bal'!I48</f>
        <v>0</v>
      </c>
      <c r="I15" s="335">
        <f>'P2 Bal'!J48</f>
        <v>0</v>
      </c>
      <c r="J15" s="335">
        <f>'P2 Bal'!K48</f>
        <v>0</v>
      </c>
      <c r="K15" s="335">
        <f>'P2 Bal'!L48</f>
        <v>0</v>
      </c>
      <c r="L15" s="335">
        <f>'P2 Bal'!M48</f>
        <v>0</v>
      </c>
      <c r="M15" s="335">
        <f>'P2 Bal'!N48</f>
        <v>0</v>
      </c>
      <c r="N15" s="335">
        <f>'P2 Bal'!O48</f>
        <v>0</v>
      </c>
      <c r="O15" s="335">
        <f>'P2 Bal'!P48</f>
        <v>0</v>
      </c>
    </row>
    <row r="16" spans="1:15" ht="13.5" thickBot="1" x14ac:dyDescent="0.25">
      <c r="B16" s="527" t="s">
        <v>0</v>
      </c>
      <c r="C16" s="139" t="s">
        <v>23</v>
      </c>
      <c r="D16" s="336">
        <f>'P1 Bal'!E51</f>
        <v>0</v>
      </c>
      <c r="E16" s="336">
        <f>'P1 Bal'!F51</f>
        <v>0</v>
      </c>
      <c r="F16" s="336">
        <f>'P1 Bal'!G51</f>
        <v>0</v>
      </c>
      <c r="G16" s="336">
        <f>'P1 Bal'!H51</f>
        <v>0</v>
      </c>
      <c r="H16" s="336">
        <f>'P1 Bal'!I51</f>
        <v>0</v>
      </c>
      <c r="I16" s="336">
        <f>'P1 Bal'!J51</f>
        <v>0</v>
      </c>
      <c r="J16" s="336">
        <f>'P1 Bal'!K51</f>
        <v>0</v>
      </c>
      <c r="K16" s="336">
        <f>'P1 Bal'!L51</f>
        <v>0</v>
      </c>
      <c r="L16" s="336">
        <f>'P1 Bal'!M51</f>
        <v>0</v>
      </c>
      <c r="M16" s="336">
        <f>'P1 Bal'!N51</f>
        <v>0</v>
      </c>
      <c r="N16" s="336">
        <f>'P1 Bal'!O51</f>
        <v>0</v>
      </c>
      <c r="O16" s="336">
        <f>'P1 Bal'!P51</f>
        <v>0</v>
      </c>
    </row>
    <row r="17" spans="2:3" ht="15.75" x14ac:dyDescent="0.25">
      <c r="B17" s="286"/>
      <c r="C17" s="286"/>
    </row>
    <row r="18" spans="2:3" ht="15.75" x14ac:dyDescent="0.25">
      <c r="B18" s="286"/>
      <c r="C18" s="286"/>
    </row>
    <row r="19" spans="2:3" ht="15.75" x14ac:dyDescent="0.25">
      <c r="B19" s="286"/>
      <c r="C19" s="286"/>
    </row>
    <row r="20" spans="2:3" ht="15.75" x14ac:dyDescent="0.25">
      <c r="B20" s="286"/>
      <c r="C20" s="286"/>
    </row>
    <row r="21" spans="2:3" ht="15.75" x14ac:dyDescent="0.25">
      <c r="B21" s="286"/>
      <c r="C21" s="286"/>
    </row>
    <row r="22" spans="2:3" ht="15.75" x14ac:dyDescent="0.25">
      <c r="B22" s="286"/>
      <c r="C22" s="286"/>
    </row>
    <row r="23" spans="2:3" ht="15.75" x14ac:dyDescent="0.25">
      <c r="B23" s="286"/>
      <c r="C23" s="286"/>
    </row>
    <row r="24" spans="2:3" ht="15.75" x14ac:dyDescent="0.25">
      <c r="B24" s="286"/>
      <c r="C24" s="286"/>
    </row>
    <row r="25" spans="2:3" ht="15.75" x14ac:dyDescent="0.25">
      <c r="B25" s="286"/>
      <c r="C25" s="286"/>
    </row>
    <row r="26" spans="2:3" ht="15.75" x14ac:dyDescent="0.25">
      <c r="B26" s="286"/>
      <c r="C26" s="286"/>
    </row>
    <row r="27" spans="2:3" ht="15.75" x14ac:dyDescent="0.25">
      <c r="B27" s="286"/>
      <c r="C27" s="286"/>
    </row>
    <row r="28" spans="2:3" ht="15.75" x14ac:dyDescent="0.25">
      <c r="B28" s="286"/>
      <c r="C28" s="286"/>
    </row>
    <row r="29" spans="2:3" ht="15.75" x14ac:dyDescent="0.25">
      <c r="B29" s="286"/>
      <c r="C29" s="286"/>
    </row>
    <row r="30" spans="2:3" ht="15.75" x14ac:dyDescent="0.25">
      <c r="B30" s="286"/>
      <c r="C30" s="286"/>
    </row>
    <row r="31" spans="2:3" ht="15.75" x14ac:dyDescent="0.25">
      <c r="B31" s="286"/>
      <c r="C31" s="286"/>
    </row>
    <row r="32" spans="2:3" ht="15.75" x14ac:dyDescent="0.25">
      <c r="B32" s="286"/>
      <c r="C32" s="286"/>
    </row>
    <row r="33" spans="2:15" ht="15.75" x14ac:dyDescent="0.25">
      <c r="B33" s="286"/>
      <c r="C33" s="286"/>
    </row>
    <row r="34" spans="2:15" ht="15.75" x14ac:dyDescent="0.25">
      <c r="B34" s="286"/>
      <c r="C34" s="286"/>
    </row>
    <row r="35" spans="2:15" ht="13.5" thickBot="1" x14ac:dyDescent="0.25"/>
    <row r="36" spans="2:15" x14ac:dyDescent="0.2">
      <c r="B36" s="20"/>
      <c r="C36" s="20"/>
      <c r="D36" s="19" t="str">
        <f t="shared" ref="D36:O36" si="0">D5</f>
        <v>Mar</v>
      </c>
      <c r="E36" s="19" t="str">
        <f t="shared" si="0"/>
        <v>Apr</v>
      </c>
      <c r="F36" s="19" t="str">
        <f t="shared" si="0"/>
        <v>May</v>
      </c>
      <c r="G36" s="19" t="str">
        <f t="shared" si="0"/>
        <v>Jun</v>
      </c>
      <c r="H36" s="19" t="str">
        <f t="shared" si="0"/>
        <v>Jul</v>
      </c>
      <c r="I36" s="19" t="str">
        <f t="shared" si="0"/>
        <v>Aug</v>
      </c>
      <c r="J36" s="19" t="str">
        <f t="shared" si="0"/>
        <v>Sep</v>
      </c>
      <c r="K36" s="19" t="str">
        <f t="shared" si="0"/>
        <v>Oct</v>
      </c>
      <c r="L36" s="19" t="str">
        <f t="shared" si="0"/>
        <v>Nov</v>
      </c>
      <c r="M36" s="19" t="str">
        <f t="shared" si="0"/>
        <v>Dec</v>
      </c>
      <c r="N36" s="19" t="str">
        <f t="shared" si="0"/>
        <v>Jan</v>
      </c>
      <c r="O36" s="19" t="str">
        <f t="shared" si="0"/>
        <v>Feb</v>
      </c>
    </row>
    <row r="37" spans="2:15" x14ac:dyDescent="0.2">
      <c r="B37" s="261" t="s">
        <v>192</v>
      </c>
      <c r="C37" s="261" t="s">
        <v>193</v>
      </c>
      <c r="D37" s="262" t="e">
        <f>'P1 Bal'!$E$98</f>
        <v>#DIV/0!</v>
      </c>
      <c r="E37" s="262" t="e">
        <f>'P1 Bal'!$F$98</f>
        <v>#DIV/0!</v>
      </c>
      <c r="F37" s="262" t="e">
        <f>'P1 Bal'!$G$98</f>
        <v>#DIV/0!</v>
      </c>
      <c r="G37" s="262" t="e">
        <f>'P1 Bal'!$H$98</f>
        <v>#DIV/0!</v>
      </c>
      <c r="H37" s="262" t="e">
        <f>'P1 Bal'!$I$98</f>
        <v>#DIV/0!</v>
      </c>
      <c r="I37" s="262" t="e">
        <f>'P1 Bal'!$J$98</f>
        <v>#DIV/0!</v>
      </c>
      <c r="J37" s="262" t="e">
        <f>'P1 Bal'!$K$98</f>
        <v>#DIV/0!</v>
      </c>
      <c r="K37" s="262" t="e">
        <f>'P1 Bal'!$L$98</f>
        <v>#DIV/0!</v>
      </c>
      <c r="L37" s="262" t="e">
        <f>'P1 Bal'!$M$98</f>
        <v>#DIV/0!</v>
      </c>
      <c r="M37" s="262" t="e">
        <f>'P1 Bal'!$N$98</f>
        <v>#DIV/0!</v>
      </c>
      <c r="N37" s="262" t="e">
        <f>'P1 Bal'!$O$98</f>
        <v>#DIV/0!</v>
      </c>
      <c r="O37" s="263" t="e">
        <f>'P1 Bal'!$P$98</f>
        <v>#DIV/0!</v>
      </c>
    </row>
    <row r="38" spans="2:15" ht="13.5" thickBot="1" x14ac:dyDescent="0.25">
      <c r="B38" s="264" t="s">
        <v>102</v>
      </c>
      <c r="C38" s="264" t="s">
        <v>193</v>
      </c>
      <c r="D38" s="265" t="e">
        <f>'P1 Bal'!E112</f>
        <v>#DIV/0!</v>
      </c>
      <c r="E38" s="265" t="e">
        <f>'P1 Bal'!F112</f>
        <v>#DIV/0!</v>
      </c>
      <c r="F38" s="265" t="e">
        <f>'P1 Bal'!G112</f>
        <v>#DIV/0!</v>
      </c>
      <c r="G38" s="265" t="e">
        <f>'P1 Bal'!H112</f>
        <v>#DIV/0!</v>
      </c>
      <c r="H38" s="265" t="e">
        <f>'P1 Bal'!I112</f>
        <v>#DIV/0!</v>
      </c>
      <c r="I38" s="265" t="e">
        <f>'P1 Bal'!J112</f>
        <v>#DIV/0!</v>
      </c>
      <c r="J38" s="265" t="e">
        <f>'P1 Bal'!K112</f>
        <v>#DIV/0!</v>
      </c>
      <c r="K38" s="265" t="e">
        <f>'P1 Bal'!L112</f>
        <v>#DIV/0!</v>
      </c>
      <c r="L38" s="265" t="e">
        <f>'P1 Bal'!M112</f>
        <v>#DIV/0!</v>
      </c>
      <c r="M38" s="265" t="e">
        <f>'P1 Bal'!N112</f>
        <v>#DIV/0!</v>
      </c>
      <c r="N38" s="265" t="e">
        <f>'P1 Bal'!O112</f>
        <v>#DIV/0!</v>
      </c>
      <c r="O38" s="266" t="e">
        <f>'P1 Bal'!P112</f>
        <v>#DIV/0!</v>
      </c>
    </row>
    <row r="62" spans="2:15" ht="13.5" thickBot="1" x14ac:dyDescent="0.25"/>
    <row r="63" spans="2:15" x14ac:dyDescent="0.2">
      <c r="B63" s="20"/>
      <c r="C63" s="20"/>
      <c r="D63" s="19" t="str">
        <f>D36</f>
        <v>Mar</v>
      </c>
      <c r="E63" s="19" t="str">
        <f t="shared" ref="E63:O63" si="1">E36</f>
        <v>Apr</v>
      </c>
      <c r="F63" s="19" t="str">
        <f t="shared" si="1"/>
        <v>May</v>
      </c>
      <c r="G63" s="19" t="str">
        <f t="shared" si="1"/>
        <v>Jun</v>
      </c>
      <c r="H63" s="19" t="str">
        <f t="shared" si="1"/>
        <v>Jul</v>
      </c>
      <c r="I63" s="19" t="str">
        <f t="shared" si="1"/>
        <v>Aug</v>
      </c>
      <c r="J63" s="19" t="str">
        <f t="shared" si="1"/>
        <v>Sep</v>
      </c>
      <c r="K63" s="19" t="str">
        <f t="shared" si="1"/>
        <v>Oct</v>
      </c>
      <c r="L63" s="19" t="str">
        <f t="shared" si="1"/>
        <v>Nov</v>
      </c>
      <c r="M63" s="19" t="str">
        <f t="shared" si="1"/>
        <v>Dec</v>
      </c>
      <c r="N63" s="19" t="str">
        <f t="shared" si="1"/>
        <v>Jan</v>
      </c>
      <c r="O63" s="19" t="str">
        <f t="shared" si="1"/>
        <v>Feb</v>
      </c>
    </row>
    <row r="64" spans="2:15" x14ac:dyDescent="0.2">
      <c r="B64" s="261" t="s">
        <v>194</v>
      </c>
      <c r="C64" s="261" t="s">
        <v>196</v>
      </c>
      <c r="D64" s="262" t="e">
        <f>'P1 Bal'!E52</f>
        <v>#DIV/0!</v>
      </c>
      <c r="E64" s="262" t="e">
        <f>'P1 Bal'!F52</f>
        <v>#DIV/0!</v>
      </c>
      <c r="F64" s="262" t="e">
        <f>'P1 Bal'!G52</f>
        <v>#DIV/0!</v>
      </c>
      <c r="G64" s="262" t="e">
        <f>'P1 Bal'!H52</f>
        <v>#DIV/0!</v>
      </c>
      <c r="H64" s="262" t="e">
        <f>'P1 Bal'!I52</f>
        <v>#DIV/0!</v>
      </c>
      <c r="I64" s="262" t="e">
        <f>'P1 Bal'!J52</f>
        <v>#DIV/0!</v>
      </c>
      <c r="J64" s="262" t="e">
        <f>'P1 Bal'!K52</f>
        <v>#DIV/0!</v>
      </c>
      <c r="K64" s="262" t="e">
        <f>'P1 Bal'!L52</f>
        <v>#DIV/0!</v>
      </c>
      <c r="L64" s="262" t="e">
        <f>'P1 Bal'!M52</f>
        <v>#DIV/0!</v>
      </c>
      <c r="M64" s="262" t="e">
        <f>'P1 Bal'!N52</f>
        <v>#DIV/0!</v>
      </c>
      <c r="N64" s="262" t="e">
        <f>'P1 Bal'!O52</f>
        <v>#DIV/0!</v>
      </c>
      <c r="O64" s="263" t="e">
        <f>'P1 Bal'!P52</f>
        <v>#DIV/0!</v>
      </c>
    </row>
    <row r="65" spans="2:15" ht="13.5" thickBot="1" x14ac:dyDescent="0.25">
      <c r="B65" s="264" t="s">
        <v>195</v>
      </c>
      <c r="C65" s="264" t="s">
        <v>196</v>
      </c>
      <c r="D65" s="265" t="e">
        <f>'P1 Bal'!E89</f>
        <v>#DIV/0!</v>
      </c>
      <c r="E65" s="265" t="e">
        <f>'P1 Bal'!F89</f>
        <v>#DIV/0!</v>
      </c>
      <c r="F65" s="265" t="e">
        <f>'P1 Bal'!G89</f>
        <v>#DIV/0!</v>
      </c>
      <c r="G65" s="265" t="e">
        <f>'P1 Bal'!H89</f>
        <v>#DIV/0!</v>
      </c>
      <c r="H65" s="265" t="e">
        <f>'P1 Bal'!I89</f>
        <v>#DIV/0!</v>
      </c>
      <c r="I65" s="265" t="e">
        <f>'P1 Bal'!J89</f>
        <v>#DIV/0!</v>
      </c>
      <c r="J65" s="265" t="e">
        <f>'P1 Bal'!K89</f>
        <v>#DIV/0!</v>
      </c>
      <c r="K65" s="265" t="e">
        <f>'P1 Bal'!L89</f>
        <v>#DIV/0!</v>
      </c>
      <c r="L65" s="265" t="e">
        <f>'P1 Bal'!M89</f>
        <v>#DIV/0!</v>
      </c>
      <c r="M65" s="265" t="e">
        <f>'P1 Bal'!N89</f>
        <v>#DIV/0!</v>
      </c>
      <c r="N65" s="265" t="e">
        <f>'P1 Bal'!O89</f>
        <v>#DIV/0!</v>
      </c>
      <c r="O65" s="266" t="e">
        <f>'P1 Bal'!P89</f>
        <v>#DIV/0!</v>
      </c>
    </row>
    <row r="89" spans="1:9" ht="13.5" thickBot="1" x14ac:dyDescent="0.25"/>
    <row r="90" spans="1:9" x14ac:dyDescent="0.2">
      <c r="B90" s="18"/>
      <c r="C90" s="18"/>
      <c r="D90" s="38" t="s">
        <v>81</v>
      </c>
    </row>
    <row r="91" spans="1:9" x14ac:dyDescent="0.2">
      <c r="B91" s="1"/>
      <c r="C91" s="1"/>
      <c r="D91" s="50" t="s">
        <v>191</v>
      </c>
    </row>
    <row r="92" spans="1:9" x14ac:dyDescent="0.2">
      <c r="A92" s="833" t="s">
        <v>483</v>
      </c>
      <c r="B92" s="528" t="str">
        <f>'P1 Area'!P7</f>
        <v>Irr - Kik/Chic/Oats</v>
      </c>
      <c r="C92" s="267"/>
      <c r="D92" s="268" t="e">
        <f>'P1 Bal'!Q44/1000/'P1 Bal'!Q14</f>
        <v>#DIV/0!</v>
      </c>
      <c r="F92" s="270" t="s">
        <v>113</v>
      </c>
      <c r="G92" s="52"/>
      <c r="H92" s="52"/>
      <c r="I92" s="53" t="e">
        <f>D102/('P1 Bal'!G6/100)</f>
        <v>#DIV/0!</v>
      </c>
    </row>
    <row r="93" spans="1:9" x14ac:dyDescent="0.2">
      <c r="A93" s="833"/>
      <c r="B93" s="133" t="str">
        <f>'P1 Area'!P8</f>
        <v>Dry - Kik/Chic/Oats</v>
      </c>
      <c r="C93" s="127"/>
      <c r="D93" s="269" t="e">
        <f>'P1 Bal'!Q45/1000/'P1 Bal'!Q15</f>
        <v>#DIV/0!</v>
      </c>
      <c r="F93" s="271" t="s">
        <v>44</v>
      </c>
      <c r="G93" s="50"/>
      <c r="H93" s="50"/>
      <c r="I93" s="82" t="e">
        <f>D102/0.3</f>
        <v>#DIV/0!</v>
      </c>
    </row>
    <row r="94" spans="1:9" x14ac:dyDescent="0.2">
      <c r="A94" s="833"/>
      <c r="B94" s="133" t="str">
        <f>'P1 Area'!P9</f>
        <v>Dry - Kik</v>
      </c>
      <c r="C94" s="127"/>
      <c r="D94" s="269" t="e">
        <f>'P1 Bal'!Q46/1000/'P1 Bal'!Q16</f>
        <v>#DIV/0!</v>
      </c>
    </row>
    <row r="95" spans="1:9" x14ac:dyDescent="0.2">
      <c r="A95" s="833"/>
      <c r="B95" s="133">
        <f>'P1 Area'!P10</f>
        <v>0</v>
      </c>
      <c r="C95" s="127"/>
      <c r="D95" s="269" t="e">
        <f>'P1 Bal'!Q47/1000/'P1 Bal'!Q17</f>
        <v>#DIV/0!</v>
      </c>
    </row>
    <row r="96" spans="1:9" x14ac:dyDescent="0.2">
      <c r="A96" s="833"/>
      <c r="B96" s="133">
        <f>'P1 Area'!P11</f>
        <v>0</v>
      </c>
      <c r="C96" s="127"/>
      <c r="D96" s="269" t="e">
        <f>'P1 Bal'!Q48/1000/'P1 Bal'!Q18</f>
        <v>#DIV/0!</v>
      </c>
    </row>
    <row r="97" spans="1:4" x14ac:dyDescent="0.2">
      <c r="A97" s="834" t="s">
        <v>486</v>
      </c>
      <c r="B97" s="133" t="str">
        <f>'P2 Area'!P7</f>
        <v>Irr - Hi - Pasture</v>
      </c>
      <c r="C97" s="127"/>
      <c r="D97" s="269" t="e">
        <f>'P2 Bal'!Q44/1000/'P2 Bal'!Q14</f>
        <v>#DIV/0!</v>
      </c>
    </row>
    <row r="98" spans="1:4" x14ac:dyDescent="0.2">
      <c r="A98" s="834"/>
      <c r="B98" s="133" t="str">
        <f>'P2 Area'!P8</f>
        <v>Irr - Med - Pasture</v>
      </c>
      <c r="C98" s="127"/>
      <c r="D98" s="269" t="e">
        <f>'P2 Bal'!Q45/1000/'P2 Bal'!Q15</f>
        <v>#DIV/0!</v>
      </c>
    </row>
    <row r="99" spans="1:4" x14ac:dyDescent="0.2">
      <c r="A99" s="834"/>
      <c r="B99" s="133" t="str">
        <f>'P2 Area'!P9</f>
        <v>Irr - Lo - Pasture</v>
      </c>
      <c r="C99" s="127"/>
      <c r="D99" s="269" t="e">
        <f>'P2 Bal'!Q46/1000/'P2 Bal'!Q16</f>
        <v>#DIV/0!</v>
      </c>
    </row>
    <row r="100" spans="1:4" x14ac:dyDescent="0.2">
      <c r="A100" s="834"/>
      <c r="B100" s="133" t="str">
        <f>'P2 Area'!P10</f>
        <v>Dry - Pasture 1</v>
      </c>
      <c r="C100" s="127"/>
      <c r="D100" s="269" t="e">
        <f>'P2 Bal'!Q47/1000/'P2 Bal'!Q17</f>
        <v>#DIV/0!</v>
      </c>
    </row>
    <row r="101" spans="1:4" x14ac:dyDescent="0.2">
      <c r="A101" s="834"/>
      <c r="B101" s="133" t="str">
        <f>'P2 Area'!P11</f>
        <v>Dry - Pasture 2</v>
      </c>
      <c r="C101" s="129"/>
      <c r="D101" s="269" t="e">
        <f>'P2 Bal'!Q48/1000/'P2 Bal'!Q18</f>
        <v>#DIV/0!</v>
      </c>
    </row>
    <row r="102" spans="1:4" ht="13.5" thickBot="1" x14ac:dyDescent="0.25">
      <c r="B102" s="272" t="s">
        <v>20</v>
      </c>
      <c r="C102" s="273"/>
      <c r="D102" s="273" t="e">
        <f>SUM('P1 Bal'!E51:P51)/1000/'P1 Bal'!Q21</f>
        <v>#DIV/0!</v>
      </c>
    </row>
  </sheetData>
  <mergeCells count="4">
    <mergeCell ref="A6:A10"/>
    <mergeCell ref="A11:A15"/>
    <mergeCell ref="A92:A96"/>
    <mergeCell ref="A97:A101"/>
  </mergeCells>
  <hyperlinks>
    <hyperlink ref="B3" location="Instructions!A132" display="Instructions" xr:uid="{00000000-0004-0000-0100-000000000000}"/>
  </hyperlinks>
  <pageMargins left="0.74803149606299213" right="0.74803149606299213" top="0.98425196850393704" bottom="0.98425196850393704" header="0.51181102362204722" footer="0.51181102362204722"/>
  <pageSetup paperSize="9" scale="55" orientation="landscape" horizontalDpi="4294967295" verticalDpi="4294967295"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E1BD-3A75-4128-9C41-E8416A8E4C58}">
  <sheetPr>
    <tabColor rgb="FFFF0000"/>
  </sheetPr>
  <dimension ref="A1:AA34"/>
  <sheetViews>
    <sheetView topLeftCell="C1" workbookViewId="0">
      <selection activeCell="J16" sqref="J16"/>
    </sheetView>
  </sheetViews>
  <sheetFormatPr defaultRowHeight="12.75" x14ac:dyDescent="0.2"/>
  <cols>
    <col min="1" max="1" width="22" style="675" customWidth="1"/>
    <col min="2" max="16384" width="9.33203125" style="675"/>
  </cols>
  <sheetData>
    <row r="1" spans="1:26" x14ac:dyDescent="0.2">
      <c r="A1" s="674" t="s">
        <v>378</v>
      </c>
    </row>
    <row r="2" spans="1:26" ht="13.5" thickBot="1" x14ac:dyDescent="0.25">
      <c r="A2" s="674"/>
    </row>
    <row r="3" spans="1:26" s="674" customFormat="1" x14ac:dyDescent="0.2">
      <c r="A3" s="876" t="s">
        <v>372</v>
      </c>
      <c r="B3" s="877"/>
      <c r="C3" s="877"/>
      <c r="D3" s="878"/>
      <c r="F3" s="869" t="s">
        <v>381</v>
      </c>
      <c r="G3" s="870"/>
      <c r="H3" s="870"/>
      <c r="I3" s="870"/>
      <c r="J3" s="871"/>
      <c r="L3" s="869" t="s">
        <v>382</v>
      </c>
      <c r="M3" s="870"/>
      <c r="N3" s="870"/>
      <c r="O3" s="870"/>
      <c r="P3" s="871"/>
      <c r="R3" s="869" t="s">
        <v>383</v>
      </c>
      <c r="S3" s="870"/>
      <c r="T3" s="870"/>
      <c r="U3" s="870"/>
      <c r="V3" s="871"/>
    </row>
    <row r="4" spans="1:26" s="674" customFormat="1" x14ac:dyDescent="0.2">
      <c r="A4" s="676" t="s">
        <v>380</v>
      </c>
      <c r="B4" s="677" t="s">
        <v>379</v>
      </c>
      <c r="C4" s="677" t="s">
        <v>315</v>
      </c>
      <c r="D4" s="678" t="s">
        <v>364</v>
      </c>
      <c r="F4" s="872" t="s">
        <v>380</v>
      </c>
      <c r="G4" s="873"/>
      <c r="H4" s="679" t="s">
        <v>379</v>
      </c>
      <c r="I4" s="679" t="s">
        <v>315</v>
      </c>
      <c r="J4" s="680" t="s">
        <v>364</v>
      </c>
      <c r="L4" s="872" t="s">
        <v>380</v>
      </c>
      <c r="M4" s="873"/>
      <c r="N4" s="679" t="s">
        <v>379</v>
      </c>
      <c r="O4" s="679" t="s">
        <v>315</v>
      </c>
      <c r="P4" s="680" t="s">
        <v>364</v>
      </c>
      <c r="R4" s="872" t="s">
        <v>380</v>
      </c>
      <c r="S4" s="873"/>
      <c r="T4" s="679" t="s">
        <v>379</v>
      </c>
      <c r="U4" s="679" t="s">
        <v>315</v>
      </c>
      <c r="V4" s="680" t="s">
        <v>364</v>
      </c>
    </row>
    <row r="5" spans="1:26" x14ac:dyDescent="0.2">
      <c r="A5" s="681" t="s">
        <v>373</v>
      </c>
      <c r="B5" s="682">
        <v>20</v>
      </c>
      <c r="C5" s="682">
        <v>70</v>
      </c>
      <c r="D5" s="683">
        <f t="shared" ref="D5:D11" si="0">B5*C5</f>
        <v>1400</v>
      </c>
      <c r="F5" s="874" t="s">
        <v>373</v>
      </c>
      <c r="G5" s="875"/>
      <c r="H5" s="684">
        <v>15</v>
      </c>
      <c r="I5" s="684">
        <v>85</v>
      </c>
      <c r="J5" s="685">
        <f t="shared" ref="J5:J11" si="1">H5*I5</f>
        <v>1275</v>
      </c>
      <c r="L5" s="874" t="s">
        <v>373</v>
      </c>
      <c r="M5" s="875"/>
      <c r="N5" s="684"/>
      <c r="O5" s="684"/>
      <c r="P5" s="685">
        <f t="shared" ref="P5:P11" si="2">N5*O5</f>
        <v>0</v>
      </c>
      <c r="R5" s="874" t="s">
        <v>373</v>
      </c>
      <c r="S5" s="875"/>
      <c r="T5" s="684"/>
      <c r="U5" s="684"/>
      <c r="V5" s="685">
        <f t="shared" ref="V5:V11" si="3">T5*U5</f>
        <v>0</v>
      </c>
    </row>
    <row r="6" spans="1:26" x14ac:dyDescent="0.2">
      <c r="A6" s="686" t="s">
        <v>374</v>
      </c>
      <c r="B6" s="687">
        <v>2</v>
      </c>
      <c r="C6" s="687">
        <v>100</v>
      </c>
      <c r="D6" s="688">
        <f t="shared" si="0"/>
        <v>200</v>
      </c>
      <c r="F6" s="863" t="s">
        <v>374</v>
      </c>
      <c r="G6" s="864"/>
      <c r="H6" s="689"/>
      <c r="I6" s="689"/>
      <c r="J6" s="690">
        <f t="shared" si="1"/>
        <v>0</v>
      </c>
      <c r="L6" s="863" t="s">
        <v>374</v>
      </c>
      <c r="M6" s="864"/>
      <c r="N6" s="689"/>
      <c r="O6" s="689"/>
      <c r="P6" s="690">
        <f t="shared" si="2"/>
        <v>0</v>
      </c>
      <c r="R6" s="863" t="s">
        <v>374</v>
      </c>
      <c r="S6" s="864"/>
      <c r="T6" s="689"/>
      <c r="U6" s="689"/>
      <c r="V6" s="690">
        <f t="shared" si="3"/>
        <v>0</v>
      </c>
    </row>
    <row r="7" spans="1:26" x14ac:dyDescent="0.2">
      <c r="A7" s="686" t="s">
        <v>375</v>
      </c>
      <c r="B7" s="687">
        <v>2</v>
      </c>
      <c r="C7" s="687">
        <v>120</v>
      </c>
      <c r="D7" s="688">
        <f t="shared" si="0"/>
        <v>240</v>
      </c>
      <c r="F7" s="863" t="s">
        <v>375</v>
      </c>
      <c r="G7" s="864"/>
      <c r="H7" s="689"/>
      <c r="I7" s="689"/>
      <c r="J7" s="690">
        <f t="shared" si="1"/>
        <v>0</v>
      </c>
      <c r="L7" s="863" t="s">
        <v>375</v>
      </c>
      <c r="M7" s="864"/>
      <c r="N7" s="689"/>
      <c r="O7" s="689"/>
      <c r="P7" s="690">
        <f t="shared" si="2"/>
        <v>0</v>
      </c>
      <c r="R7" s="863" t="s">
        <v>375</v>
      </c>
      <c r="S7" s="864"/>
      <c r="T7" s="689"/>
      <c r="U7" s="689"/>
      <c r="V7" s="690">
        <f t="shared" si="3"/>
        <v>0</v>
      </c>
    </row>
    <row r="8" spans="1:26" x14ac:dyDescent="0.2">
      <c r="A8" s="686" t="s">
        <v>376</v>
      </c>
      <c r="B8" s="687">
        <v>1</v>
      </c>
      <c r="C8" s="687">
        <v>150</v>
      </c>
      <c r="D8" s="688">
        <f t="shared" si="0"/>
        <v>150</v>
      </c>
      <c r="F8" s="863" t="s">
        <v>376</v>
      </c>
      <c r="G8" s="864"/>
      <c r="H8" s="689"/>
      <c r="I8" s="689"/>
      <c r="J8" s="690">
        <f t="shared" si="1"/>
        <v>0</v>
      </c>
      <c r="L8" s="863" t="s">
        <v>376</v>
      </c>
      <c r="M8" s="864"/>
      <c r="N8" s="689"/>
      <c r="O8" s="689"/>
      <c r="P8" s="690">
        <f t="shared" si="2"/>
        <v>0</v>
      </c>
      <c r="R8" s="863" t="s">
        <v>376</v>
      </c>
      <c r="S8" s="864"/>
      <c r="T8" s="689"/>
      <c r="U8" s="689"/>
      <c r="V8" s="690">
        <f t="shared" si="3"/>
        <v>0</v>
      </c>
    </row>
    <row r="9" spans="1:26" x14ac:dyDescent="0.2">
      <c r="A9" s="686" t="s">
        <v>360</v>
      </c>
      <c r="B9" s="687">
        <v>1</v>
      </c>
      <c r="C9" s="687">
        <v>120</v>
      </c>
      <c r="D9" s="688">
        <f t="shared" si="0"/>
        <v>120</v>
      </c>
      <c r="F9" s="863" t="s">
        <v>360</v>
      </c>
      <c r="G9" s="864"/>
      <c r="H9" s="689"/>
      <c r="I9" s="689"/>
      <c r="J9" s="690">
        <f t="shared" si="1"/>
        <v>0</v>
      </c>
      <c r="L9" s="863" t="s">
        <v>360</v>
      </c>
      <c r="M9" s="864"/>
      <c r="N9" s="689"/>
      <c r="O9" s="689"/>
      <c r="P9" s="690">
        <f t="shared" si="2"/>
        <v>0</v>
      </c>
      <c r="R9" s="863" t="s">
        <v>360</v>
      </c>
      <c r="S9" s="864"/>
      <c r="T9" s="689"/>
      <c r="U9" s="689"/>
      <c r="V9" s="690">
        <f t="shared" si="3"/>
        <v>0</v>
      </c>
    </row>
    <row r="10" spans="1:26" x14ac:dyDescent="0.2">
      <c r="A10" s="686" t="s">
        <v>377</v>
      </c>
      <c r="B10" s="687"/>
      <c r="C10" s="687"/>
      <c r="D10" s="688">
        <f t="shared" si="0"/>
        <v>0</v>
      </c>
      <c r="F10" s="863" t="s">
        <v>377</v>
      </c>
      <c r="G10" s="864"/>
      <c r="H10" s="689"/>
      <c r="I10" s="689"/>
      <c r="J10" s="690">
        <f t="shared" si="1"/>
        <v>0</v>
      </c>
      <c r="L10" s="863" t="s">
        <v>377</v>
      </c>
      <c r="M10" s="864"/>
      <c r="N10" s="689"/>
      <c r="O10" s="689"/>
      <c r="P10" s="690">
        <f t="shared" si="2"/>
        <v>0</v>
      </c>
      <c r="R10" s="863" t="s">
        <v>377</v>
      </c>
      <c r="S10" s="864"/>
      <c r="T10" s="689"/>
      <c r="U10" s="689"/>
      <c r="V10" s="690">
        <f t="shared" si="3"/>
        <v>0</v>
      </c>
    </row>
    <row r="11" spans="1:26" ht="13.5" thickBot="1" x14ac:dyDescent="0.25">
      <c r="A11" s="691" t="s">
        <v>377</v>
      </c>
      <c r="B11" s="692"/>
      <c r="C11" s="692"/>
      <c r="D11" s="693">
        <f t="shared" si="0"/>
        <v>0</v>
      </c>
      <c r="F11" s="865" t="s">
        <v>377</v>
      </c>
      <c r="G11" s="866"/>
      <c r="H11" s="694"/>
      <c r="I11" s="694"/>
      <c r="J11" s="695">
        <f t="shared" si="1"/>
        <v>0</v>
      </c>
      <c r="L11" s="865" t="s">
        <v>377</v>
      </c>
      <c r="M11" s="866"/>
      <c r="N11" s="694"/>
      <c r="O11" s="694"/>
      <c r="P11" s="695">
        <f t="shared" si="2"/>
        <v>0</v>
      </c>
      <c r="R11" s="865" t="s">
        <v>377</v>
      </c>
      <c r="S11" s="866"/>
      <c r="T11" s="694"/>
      <c r="U11" s="694"/>
      <c r="V11" s="695">
        <f t="shared" si="3"/>
        <v>0</v>
      </c>
    </row>
    <row r="12" spans="1:26" ht="13.5" thickBot="1" x14ac:dyDescent="0.25">
      <c r="A12" s="696"/>
      <c r="B12" s="697"/>
      <c r="C12" s="698"/>
      <c r="D12" s="699">
        <f>SUM(D4:D11)</f>
        <v>2110</v>
      </c>
      <c r="F12" s="867"/>
      <c r="G12" s="868"/>
      <c r="H12" s="700"/>
      <c r="I12" s="701"/>
      <c r="J12" s="699">
        <f>SUM(J4:J11)</f>
        <v>1275</v>
      </c>
      <c r="L12" s="867"/>
      <c r="M12" s="868"/>
      <c r="N12" s="700"/>
      <c r="O12" s="701"/>
      <c r="P12" s="699">
        <f>SUM(P4:P11)</f>
        <v>0</v>
      </c>
      <c r="R12" s="867"/>
      <c r="S12" s="868"/>
      <c r="T12" s="700"/>
      <c r="U12" s="701"/>
      <c r="V12" s="699">
        <f>SUM(V4:V11)</f>
        <v>0</v>
      </c>
    </row>
    <row r="13" spans="1:26" ht="13.5" thickBot="1" x14ac:dyDescent="0.25"/>
    <row r="14" spans="1:26" ht="13.5" thickBot="1" x14ac:dyDescent="0.25">
      <c r="A14" s="854" t="s">
        <v>386</v>
      </c>
      <c r="B14" s="855"/>
      <c r="C14" s="855"/>
      <c r="D14" s="855"/>
      <c r="E14" s="855"/>
      <c r="F14" s="856"/>
      <c r="H14" s="854" t="s">
        <v>387</v>
      </c>
      <c r="I14" s="855"/>
      <c r="J14" s="855"/>
      <c r="K14" s="855"/>
      <c r="L14" s="855"/>
      <c r="M14" s="855"/>
      <c r="N14" s="855"/>
      <c r="O14" s="855"/>
      <c r="P14" s="855"/>
      <c r="Q14" s="855"/>
      <c r="R14" s="855"/>
      <c r="S14" s="855"/>
      <c r="T14" s="855"/>
      <c r="U14" s="855"/>
      <c r="V14" s="856"/>
    </row>
    <row r="15" spans="1:26" ht="13.5" thickBot="1" x14ac:dyDescent="0.25">
      <c r="A15" s="702" t="str">
        <f>'P2 Area'!P7</f>
        <v>Irr - Hi - Pasture</v>
      </c>
      <c r="B15" s="703">
        <f>'P2 Area'!AC7</f>
        <v>0</v>
      </c>
      <c r="C15" s="704" t="s">
        <v>384</v>
      </c>
      <c r="D15" s="704"/>
      <c r="E15" s="703">
        <f>IF(C15=$A$3,$D$12,IF(C15=$F$3,$J$12,IF(C15=$L$3,$P$12,IF(C15=$R$3,$V$12,0))))</f>
        <v>0</v>
      </c>
      <c r="F15" s="705">
        <f>B15*E15</f>
        <v>0</v>
      </c>
      <c r="G15" s="706"/>
      <c r="H15" s="857" t="s">
        <v>388</v>
      </c>
      <c r="I15" s="858"/>
      <c r="J15" s="707" t="s">
        <v>0</v>
      </c>
      <c r="K15" s="707" t="str">
        <f>'P1 Supps'!D71</f>
        <v>Mar</v>
      </c>
      <c r="L15" s="707" t="str">
        <f>'P1 Supps'!E71</f>
        <v>Apr</v>
      </c>
      <c r="M15" s="707" t="str">
        <f>'P1 Supps'!F71</f>
        <v>May</v>
      </c>
      <c r="N15" s="707" t="str">
        <f>'P1 Supps'!G71</f>
        <v>Jun</v>
      </c>
      <c r="O15" s="707" t="str">
        <f>'P1 Supps'!H71</f>
        <v>Jul</v>
      </c>
      <c r="P15" s="707" t="str">
        <f>'P1 Supps'!I71</f>
        <v>Aug</v>
      </c>
      <c r="Q15" s="707" t="str">
        <f>'P1 Supps'!J71</f>
        <v>Sep</v>
      </c>
      <c r="R15" s="707" t="str">
        <f>'P1 Supps'!K71</f>
        <v>Oct</v>
      </c>
      <c r="S15" s="707" t="str">
        <f>'P1 Supps'!L71</f>
        <v>Nov</v>
      </c>
      <c r="T15" s="707" t="str">
        <f>'P1 Supps'!M71</f>
        <v>Dec</v>
      </c>
      <c r="U15" s="707" t="str">
        <f>'P1 Supps'!N71</f>
        <v>Jan</v>
      </c>
      <c r="V15" s="708" t="str">
        <f>'P1 Supps'!O71</f>
        <v>Feb</v>
      </c>
      <c r="X15" s="675" t="s">
        <v>402</v>
      </c>
      <c r="Y15" s="675" t="s">
        <v>41</v>
      </c>
      <c r="Z15" s="675" t="s">
        <v>389</v>
      </c>
    </row>
    <row r="16" spans="1:26" x14ac:dyDescent="0.2">
      <c r="A16" s="709" t="str">
        <f>'P2 Area'!P8</f>
        <v>Irr - Med - Pasture</v>
      </c>
      <c r="B16" s="710">
        <f>'P2 Area'!AC8</f>
        <v>0</v>
      </c>
      <c r="C16" s="711" t="str">
        <f>F3</f>
        <v>Oversow Mix</v>
      </c>
      <c r="D16" s="711"/>
      <c r="E16" s="710">
        <f t="shared" ref="E16:E20" si="4">IF(C16=$A$3,$D$12,IF(C16=$F$3,$J$12,IF(C16=$L$3,$P$12,IF(C16=$R$3,$V$12,0))))</f>
        <v>1275</v>
      </c>
      <c r="F16" s="712">
        <f t="shared" ref="F16:F20" si="5">B16*E16</f>
        <v>0</v>
      </c>
      <c r="G16" s="706"/>
      <c r="H16" s="850" t="s">
        <v>391</v>
      </c>
      <c r="I16" s="851"/>
      <c r="J16" s="713">
        <f>SUM(K16:V16)</f>
        <v>293</v>
      </c>
      <c r="K16" s="714">
        <v>25</v>
      </c>
      <c r="L16" s="714">
        <v>0</v>
      </c>
      <c r="M16" s="714">
        <v>0</v>
      </c>
      <c r="N16" s="714">
        <v>0</v>
      </c>
      <c r="O16" s="714">
        <v>25</v>
      </c>
      <c r="P16" s="714">
        <f>25+150*Y21</f>
        <v>43</v>
      </c>
      <c r="Q16" s="714">
        <v>50</v>
      </c>
      <c r="R16" s="714">
        <v>50</v>
      </c>
      <c r="S16" s="714">
        <v>25</v>
      </c>
      <c r="T16" s="714">
        <v>25</v>
      </c>
      <c r="U16" s="714">
        <v>25</v>
      </c>
      <c r="V16" s="715">
        <v>25</v>
      </c>
      <c r="X16" s="675" t="s">
        <v>403</v>
      </c>
      <c r="Y16" s="675">
        <v>6100</v>
      </c>
    </row>
    <row r="17" spans="1:27" x14ac:dyDescent="0.2">
      <c r="A17" s="709" t="str">
        <f>'P2 Area'!P9</f>
        <v>Irr - Lo - Pasture</v>
      </c>
      <c r="B17" s="710">
        <f>'P2 Area'!AC9-49</f>
        <v>-49</v>
      </c>
      <c r="C17" s="711" t="str">
        <f>F3</f>
        <v>Oversow Mix</v>
      </c>
      <c r="D17" s="711"/>
      <c r="E17" s="710">
        <f t="shared" si="4"/>
        <v>1275</v>
      </c>
      <c r="F17" s="712">
        <f t="shared" si="5"/>
        <v>-62475</v>
      </c>
      <c r="G17" s="706"/>
      <c r="H17" s="852" t="s">
        <v>390</v>
      </c>
      <c r="I17" s="853"/>
      <c r="J17" s="716">
        <f>SUM(K17:V17)</f>
        <v>0</v>
      </c>
      <c r="K17" s="717"/>
      <c r="L17" s="717"/>
      <c r="M17" s="717"/>
      <c r="N17" s="717"/>
      <c r="O17" s="717"/>
      <c r="P17" s="717"/>
      <c r="Q17" s="717"/>
      <c r="R17" s="717"/>
      <c r="S17" s="717"/>
      <c r="T17" s="717"/>
      <c r="U17" s="717"/>
      <c r="V17" s="718"/>
      <c r="X17" s="675" t="s">
        <v>399</v>
      </c>
      <c r="Y17" s="719">
        <v>0.46</v>
      </c>
      <c r="Z17" s="720">
        <f>Y16/Y17/1000</f>
        <v>13.260869565217391</v>
      </c>
    </row>
    <row r="18" spans="1:27" x14ac:dyDescent="0.2">
      <c r="A18" s="709" t="str">
        <f>'P2 Area'!P10</f>
        <v>Dry - Pasture 1</v>
      </c>
      <c r="B18" s="710">
        <f>'P2 Area'!AC10</f>
        <v>0</v>
      </c>
      <c r="C18" s="711" t="str">
        <f>L3</f>
        <v>Dryland Mix</v>
      </c>
      <c r="D18" s="711"/>
      <c r="E18" s="710">
        <f t="shared" si="4"/>
        <v>0</v>
      </c>
      <c r="F18" s="712">
        <f t="shared" si="5"/>
        <v>0</v>
      </c>
      <c r="G18" s="706"/>
      <c r="H18" s="721" t="s">
        <v>392</v>
      </c>
      <c r="I18" s="722"/>
      <c r="J18" s="716"/>
      <c r="K18" s="723">
        <f>K16*'P2 Area'!Q22+K17*'P2 Area'!Q23</f>
        <v>0</v>
      </c>
      <c r="L18" s="723">
        <f>L16*'P2 Area'!R22+L17*'P2 Area'!R23</f>
        <v>0</v>
      </c>
      <c r="M18" s="723">
        <f>M16*'P2 Area'!S22+M17*'P2 Area'!S23</f>
        <v>0</v>
      </c>
      <c r="N18" s="723">
        <f>N16*'P2 Area'!T22+N17*'P2 Area'!T23</f>
        <v>0</v>
      </c>
      <c r="O18" s="723">
        <f>O16*'P2 Area'!U22+O17*'P2 Area'!U23</f>
        <v>0</v>
      </c>
      <c r="P18" s="723">
        <f>P16*'P2 Area'!V22+P17*'P2 Area'!V23</f>
        <v>0</v>
      </c>
      <c r="Q18" s="723">
        <f>Q16*'P2 Area'!W22+Q17*'P2 Area'!W23</f>
        <v>0</v>
      </c>
      <c r="R18" s="723">
        <f>R16*'P2 Area'!X22+R17*'P2 Area'!X23</f>
        <v>0</v>
      </c>
      <c r="S18" s="723">
        <f>S16*'P2 Area'!Y22+S17*'P2 Area'!Y23</f>
        <v>0</v>
      </c>
      <c r="T18" s="723">
        <f>T16*'P2 Area'!Z22+T17*'P2 Area'!Z23</f>
        <v>0</v>
      </c>
      <c r="U18" s="723">
        <f>U16*'P2 Area'!AA22+U17*'P2 Area'!AA23</f>
        <v>0</v>
      </c>
      <c r="V18" s="724">
        <f>V16*'P2 Area'!AB22+V17*'P2 Area'!AB23</f>
        <v>0</v>
      </c>
      <c r="Z18" s="719"/>
    </row>
    <row r="19" spans="1:27" ht="13.5" thickBot="1" x14ac:dyDescent="0.25">
      <c r="A19" s="709" t="str">
        <f>'P2 Area'!P11</f>
        <v>Dry - Pasture 2</v>
      </c>
      <c r="B19" s="710">
        <f>'P2 Area'!AC11</f>
        <v>0</v>
      </c>
      <c r="C19" s="711" t="str">
        <f>L3</f>
        <v>Dryland Mix</v>
      </c>
      <c r="D19" s="711"/>
      <c r="E19" s="710">
        <f t="shared" si="4"/>
        <v>0</v>
      </c>
      <c r="F19" s="712">
        <f t="shared" si="5"/>
        <v>0</v>
      </c>
      <c r="G19" s="706"/>
      <c r="H19" s="726" t="s">
        <v>389</v>
      </c>
      <c r="I19" s="727"/>
      <c r="J19" s="728">
        <f>Z17</f>
        <v>13.260869565217391</v>
      </c>
      <c r="K19" s="729">
        <f>K18*$J$19</f>
        <v>0</v>
      </c>
      <c r="L19" s="729">
        <f t="shared" ref="L19:V19" si="6">L18*$J$19</f>
        <v>0</v>
      </c>
      <c r="M19" s="729">
        <f t="shared" si="6"/>
        <v>0</v>
      </c>
      <c r="N19" s="729">
        <f t="shared" si="6"/>
        <v>0</v>
      </c>
      <c r="O19" s="729">
        <f t="shared" si="6"/>
        <v>0</v>
      </c>
      <c r="P19" s="729">
        <f t="shared" si="6"/>
        <v>0</v>
      </c>
      <c r="Q19" s="729">
        <f t="shared" si="6"/>
        <v>0</v>
      </c>
      <c r="R19" s="729">
        <f t="shared" si="6"/>
        <v>0</v>
      </c>
      <c r="S19" s="729">
        <f t="shared" si="6"/>
        <v>0</v>
      </c>
      <c r="T19" s="729">
        <f t="shared" si="6"/>
        <v>0</v>
      </c>
      <c r="U19" s="729">
        <f t="shared" si="6"/>
        <v>0</v>
      </c>
      <c r="V19" s="730">
        <f t="shared" si="6"/>
        <v>0</v>
      </c>
      <c r="X19" s="675" t="s">
        <v>398</v>
      </c>
    </row>
    <row r="20" spans="1:27" ht="13.5" thickBot="1" x14ac:dyDescent="0.25">
      <c r="A20" s="675" t="str">
        <f>'P2 Area'!P18</f>
        <v>Pasture Renovation</v>
      </c>
      <c r="B20" s="710">
        <f>'P2 Area'!AC18+49</f>
        <v>49</v>
      </c>
      <c r="C20" s="711" t="str">
        <f>A3</f>
        <v>Renovation Mix</v>
      </c>
      <c r="D20" s="711"/>
      <c r="E20" s="710">
        <f t="shared" si="4"/>
        <v>2110</v>
      </c>
      <c r="F20" s="725">
        <f t="shared" si="5"/>
        <v>103390</v>
      </c>
      <c r="G20" s="706"/>
      <c r="H20" s="850" t="s">
        <v>395</v>
      </c>
      <c r="I20" s="851"/>
      <c r="J20" s="713">
        <f>SUM(K20:V20)</f>
        <v>52</v>
      </c>
      <c r="K20" s="714"/>
      <c r="L20" s="714"/>
      <c r="M20" s="714"/>
      <c r="N20" s="714"/>
      <c r="O20" s="714">
        <v>52</v>
      </c>
      <c r="P20" s="714"/>
      <c r="Q20" s="714"/>
      <c r="R20" s="714"/>
      <c r="S20" s="714"/>
      <c r="T20" s="714"/>
      <c r="U20" s="714"/>
      <c r="V20" s="715"/>
      <c r="X20" s="675" t="s">
        <v>404</v>
      </c>
      <c r="Y20" s="675">
        <f>'P1 S&amp;F'!Y20</f>
        <v>7570</v>
      </c>
    </row>
    <row r="21" spans="1:27" ht="13.5" thickBot="1" x14ac:dyDescent="0.25">
      <c r="A21" s="731" t="s">
        <v>385</v>
      </c>
      <c r="B21" s="699">
        <f>SUM(B16:B20)</f>
        <v>0</v>
      </c>
      <c r="C21" s="861"/>
      <c r="D21" s="862"/>
      <c r="E21" s="732" t="e">
        <f>F21/B21</f>
        <v>#DIV/0!</v>
      </c>
      <c r="F21" s="733">
        <f>SUM(F15:F20)</f>
        <v>40915</v>
      </c>
      <c r="G21" s="755"/>
      <c r="H21" s="721" t="s">
        <v>396</v>
      </c>
      <c r="I21" s="722"/>
      <c r="J21" s="716">
        <f>SUM(K21:V21)</f>
        <v>0</v>
      </c>
      <c r="K21" s="717"/>
      <c r="L21" s="717"/>
      <c r="M21" s="717"/>
      <c r="N21" s="717"/>
      <c r="O21" s="717"/>
      <c r="P21" s="717"/>
      <c r="Q21" s="717"/>
      <c r="R21" s="717"/>
      <c r="S21" s="717"/>
      <c r="T21" s="717"/>
      <c r="U21" s="717"/>
      <c r="V21" s="718"/>
      <c r="X21" s="675" t="s">
        <v>399</v>
      </c>
      <c r="Y21" s="719">
        <v>0.12</v>
      </c>
      <c r="Z21" s="720">
        <f>Z17</f>
        <v>13.260869565217391</v>
      </c>
      <c r="AA21" s="675">
        <f>Y21*Z21*1000</f>
        <v>1591.3043478260868</v>
      </c>
    </row>
    <row r="22" spans="1:27" x14ac:dyDescent="0.2">
      <c r="F22" s="755"/>
      <c r="H22" s="721" t="s">
        <v>397</v>
      </c>
      <c r="I22" s="722"/>
      <c r="J22" s="716"/>
      <c r="K22" s="723">
        <f>K20*'P2 Area'!Q22+K21*'P2 Area'!Q23</f>
        <v>0</v>
      </c>
      <c r="L22" s="723">
        <f>L20*'P2 Area'!R22+L21*'P2 Area'!R23</f>
        <v>0</v>
      </c>
      <c r="M22" s="723">
        <f>M20*'P2 Area'!S22+M21*'P2 Area'!S23</f>
        <v>0</v>
      </c>
      <c r="N22" s="723">
        <f>N20*'P2 Area'!T22+N21*'P2 Area'!T23</f>
        <v>0</v>
      </c>
      <c r="O22" s="723">
        <f>O20*'P2 Area'!U22+O21*'P2 Area'!U23</f>
        <v>0</v>
      </c>
      <c r="P22" s="723">
        <f>P20*'P2 Area'!V22+P21*'P2 Area'!V23</f>
        <v>0</v>
      </c>
      <c r="Q22" s="723">
        <f>Q20*'P2 Area'!W22+Q21*'P2 Area'!W23</f>
        <v>0</v>
      </c>
      <c r="R22" s="723">
        <f>R20*'P2 Area'!X22+R21*'P2 Area'!X23</f>
        <v>0</v>
      </c>
      <c r="S22" s="723">
        <f>S20*'P2 Area'!Y22+S21*'P2 Area'!Y23</f>
        <v>0</v>
      </c>
      <c r="T22" s="723">
        <f>T20*'P2 Area'!Z22+T21*'P2 Area'!Z23</f>
        <v>0</v>
      </c>
      <c r="U22" s="723">
        <f>U20*'P2 Area'!AA22+U21*'P2 Area'!AA23</f>
        <v>0</v>
      </c>
      <c r="V22" s="734">
        <f>V20*'P2 Area'!AB22+V21*'P2 Area'!AB23</f>
        <v>0</v>
      </c>
      <c r="X22" s="675" t="s">
        <v>400</v>
      </c>
      <c r="Y22" s="719">
        <v>0.52</v>
      </c>
      <c r="Z22" s="720">
        <f>AA22/Y22/1000</f>
        <v>11.497491638795985</v>
      </c>
      <c r="AA22" s="675">
        <f>Y20-AA21</f>
        <v>5978.695652173913</v>
      </c>
    </row>
    <row r="23" spans="1:27" ht="13.5" thickBot="1" x14ac:dyDescent="0.25">
      <c r="H23" s="735" t="s">
        <v>389</v>
      </c>
      <c r="I23" s="736"/>
      <c r="J23" s="737">
        <f>Z22</f>
        <v>11.497491638795985</v>
      </c>
      <c r="K23" s="738">
        <f>K22*$J$23</f>
        <v>0</v>
      </c>
      <c r="L23" s="738">
        <f t="shared" ref="L23:V23" si="7">L22*$J$23</f>
        <v>0</v>
      </c>
      <c r="M23" s="738">
        <f t="shared" si="7"/>
        <v>0</v>
      </c>
      <c r="N23" s="738">
        <f t="shared" si="7"/>
        <v>0</v>
      </c>
      <c r="O23" s="738">
        <f t="shared" si="7"/>
        <v>0</v>
      </c>
      <c r="P23" s="738">
        <f t="shared" si="7"/>
        <v>0</v>
      </c>
      <c r="Q23" s="738">
        <f t="shared" si="7"/>
        <v>0</v>
      </c>
      <c r="R23" s="738">
        <f t="shared" si="7"/>
        <v>0</v>
      </c>
      <c r="S23" s="738">
        <f t="shared" si="7"/>
        <v>0</v>
      </c>
      <c r="T23" s="738">
        <f t="shared" si="7"/>
        <v>0</v>
      </c>
      <c r="U23" s="738">
        <f t="shared" si="7"/>
        <v>0</v>
      </c>
      <c r="V23" s="739">
        <f t="shared" si="7"/>
        <v>0</v>
      </c>
      <c r="X23" s="675" t="s">
        <v>401</v>
      </c>
      <c r="Y23" s="675">
        <v>0</v>
      </c>
    </row>
    <row r="24" spans="1:27" x14ac:dyDescent="0.2">
      <c r="H24" s="850" t="s">
        <v>405</v>
      </c>
      <c r="I24" s="851"/>
      <c r="J24" s="713"/>
      <c r="K24" s="714"/>
      <c r="L24" s="714"/>
      <c r="M24" s="714"/>
      <c r="N24" s="714"/>
      <c r="O24" s="714"/>
      <c r="P24" s="714"/>
      <c r="Q24" s="714"/>
      <c r="R24" s="714"/>
      <c r="S24" s="714"/>
      <c r="T24" s="714"/>
      <c r="U24" s="714"/>
      <c r="V24" s="715"/>
    </row>
    <row r="25" spans="1:27" x14ac:dyDescent="0.2">
      <c r="H25" s="740" t="s">
        <v>406</v>
      </c>
      <c r="I25" s="741"/>
      <c r="J25" s="742"/>
      <c r="K25" s="743"/>
      <c r="L25" s="743"/>
      <c r="M25" s="743"/>
      <c r="N25" s="743"/>
      <c r="O25" s="743"/>
      <c r="P25" s="743"/>
      <c r="Q25" s="743"/>
      <c r="R25" s="743"/>
      <c r="S25" s="743"/>
      <c r="T25" s="743"/>
      <c r="U25" s="743"/>
      <c r="V25" s="744"/>
      <c r="X25" s="675" t="s">
        <v>408</v>
      </c>
    </row>
    <row r="26" spans="1:27" x14ac:dyDescent="0.2">
      <c r="H26" s="859" t="s">
        <v>407</v>
      </c>
      <c r="I26" s="860"/>
      <c r="J26" s="742"/>
      <c r="K26" s="723">
        <f>K24*'P2 Area'!Q22+K25*'P2 Area'!Q23</f>
        <v>0</v>
      </c>
      <c r="L26" s="710">
        <f>L24*'P2 Area'!R22+L25*'P2 Area'!R23</f>
        <v>0</v>
      </c>
      <c r="M26" s="710">
        <f>M24*'P2 Area'!S22+M25*'P2 Area'!S23</f>
        <v>0</v>
      </c>
      <c r="N26" s="710">
        <f>N24*'P2 Area'!T22+N25*'P2 Area'!T23</f>
        <v>0</v>
      </c>
      <c r="O26" s="710">
        <f>O24*'P2 Area'!U22+O25*'P2 Area'!U23</f>
        <v>0</v>
      </c>
      <c r="P26" s="710">
        <f>P24*'P2 Area'!V22+P25*'P2 Area'!V23</f>
        <v>0</v>
      </c>
      <c r="Q26" s="710">
        <f>Q24*'P2 Area'!W22+Q25*'P2 Area'!W23</f>
        <v>0</v>
      </c>
      <c r="R26" s="710">
        <f>R24*'P2 Area'!X22+R25*'P2 Area'!X23</f>
        <v>0</v>
      </c>
      <c r="S26" s="710">
        <f>S24*'P2 Area'!Y22+S25*'P2 Area'!Y23</f>
        <v>0</v>
      </c>
      <c r="T26" s="710">
        <f>T24*'P2 Area'!Z22+T25*'P2 Area'!Z23</f>
        <v>0</v>
      </c>
      <c r="U26" s="710">
        <f>U24*'P2 Area'!AA22+U25*'P2 Area'!AA23</f>
        <v>0</v>
      </c>
      <c r="V26" s="724">
        <f>V24*'P2 Area'!AB22+V25*'P2 Area'!AB23</f>
        <v>0</v>
      </c>
      <c r="X26" s="675" t="s">
        <v>404</v>
      </c>
      <c r="Y26" s="675">
        <f>'P1 S&amp;F'!Y26</f>
        <v>10880</v>
      </c>
    </row>
    <row r="27" spans="1:27" ht="13.5" thickBot="1" x14ac:dyDescent="0.25">
      <c r="H27" s="735" t="s">
        <v>389</v>
      </c>
      <c r="I27" s="745"/>
      <c r="J27" s="737">
        <f>Z27</f>
        <v>20.923076923076923</v>
      </c>
      <c r="K27" s="738">
        <f>K26*$J$27</f>
        <v>0</v>
      </c>
      <c r="L27" s="738">
        <f t="shared" ref="L27:V27" si="8">L26*$J$27</f>
        <v>0</v>
      </c>
      <c r="M27" s="738">
        <f t="shared" si="8"/>
        <v>0</v>
      </c>
      <c r="N27" s="738">
        <f t="shared" si="8"/>
        <v>0</v>
      </c>
      <c r="O27" s="738">
        <f t="shared" si="8"/>
        <v>0</v>
      </c>
      <c r="P27" s="738">
        <f t="shared" si="8"/>
        <v>0</v>
      </c>
      <c r="Q27" s="738">
        <f t="shared" si="8"/>
        <v>0</v>
      </c>
      <c r="R27" s="738">
        <f t="shared" si="8"/>
        <v>0</v>
      </c>
      <c r="S27" s="738">
        <f t="shared" si="8"/>
        <v>0</v>
      </c>
      <c r="T27" s="738">
        <f t="shared" si="8"/>
        <v>0</v>
      </c>
      <c r="U27" s="738">
        <f t="shared" si="8"/>
        <v>0</v>
      </c>
      <c r="V27" s="739">
        <f t="shared" si="8"/>
        <v>0</v>
      </c>
      <c r="X27" s="675" t="s">
        <v>401</v>
      </c>
      <c r="Y27" s="719">
        <v>0.52</v>
      </c>
      <c r="Z27" s="720">
        <f>Y26/Y27/1000</f>
        <v>20.923076923076923</v>
      </c>
    </row>
    <row r="28" spans="1:27" x14ac:dyDescent="0.2">
      <c r="H28" s="850" t="s">
        <v>409</v>
      </c>
      <c r="I28" s="851"/>
      <c r="J28" s="746"/>
      <c r="K28" s="747"/>
      <c r="L28" s="747"/>
      <c r="M28" s="747"/>
      <c r="N28" s="747"/>
      <c r="O28" s="747"/>
      <c r="P28" s="747"/>
      <c r="Q28" s="747"/>
      <c r="R28" s="747"/>
      <c r="S28" s="747"/>
      <c r="T28" s="747"/>
      <c r="U28" s="747"/>
      <c r="V28" s="748"/>
    </row>
    <row r="29" spans="1:27" x14ac:dyDescent="0.2">
      <c r="H29" s="721" t="s">
        <v>410</v>
      </c>
      <c r="I29" s="749"/>
      <c r="J29" s="742"/>
      <c r="K29" s="743"/>
      <c r="L29" s="743"/>
      <c r="M29" s="743"/>
      <c r="N29" s="743"/>
      <c r="O29" s="743"/>
      <c r="P29" s="743"/>
      <c r="Q29" s="743"/>
      <c r="R29" s="743"/>
      <c r="S29" s="743"/>
      <c r="T29" s="743"/>
      <c r="U29" s="743"/>
      <c r="V29" s="744"/>
    </row>
    <row r="30" spans="1:27" x14ac:dyDescent="0.2">
      <c r="H30" s="740" t="s">
        <v>411</v>
      </c>
      <c r="I30" s="741" t="s">
        <v>404</v>
      </c>
      <c r="J30" s="750">
        <v>500</v>
      </c>
      <c r="K30" s="710">
        <f t="shared" ref="K30:L30" si="9">K28*K29*$J$30</f>
        <v>0</v>
      </c>
      <c r="L30" s="710">
        <f t="shared" si="9"/>
        <v>0</v>
      </c>
      <c r="M30" s="710">
        <f>M28*M29*$J$30</f>
        <v>0</v>
      </c>
      <c r="N30" s="710">
        <f t="shared" ref="N30:V30" si="10">N28*N29*$J$30</f>
        <v>0</v>
      </c>
      <c r="O30" s="710">
        <f t="shared" si="10"/>
        <v>0</v>
      </c>
      <c r="P30" s="710">
        <f t="shared" si="10"/>
        <v>0</v>
      </c>
      <c r="Q30" s="710">
        <f t="shared" si="10"/>
        <v>0</v>
      </c>
      <c r="R30" s="710">
        <f t="shared" si="10"/>
        <v>0</v>
      </c>
      <c r="S30" s="710">
        <f t="shared" si="10"/>
        <v>0</v>
      </c>
      <c r="T30" s="710">
        <f t="shared" si="10"/>
        <v>0</v>
      </c>
      <c r="U30" s="710">
        <f t="shared" si="10"/>
        <v>0</v>
      </c>
      <c r="V30" s="724">
        <f t="shared" si="10"/>
        <v>0</v>
      </c>
    </row>
    <row r="31" spans="1:27" x14ac:dyDescent="0.2">
      <c r="H31" s="740" t="s">
        <v>412</v>
      </c>
      <c r="I31" s="741"/>
      <c r="J31" s="742"/>
      <c r="K31" s="779">
        <v>4.5</v>
      </c>
      <c r="L31" s="779"/>
      <c r="M31" s="779"/>
      <c r="N31" s="779"/>
      <c r="O31" s="779">
        <v>4.5</v>
      </c>
      <c r="P31" s="779"/>
      <c r="Q31" s="779"/>
      <c r="R31" s="779"/>
      <c r="S31" s="779"/>
      <c r="T31" s="779"/>
      <c r="U31" s="779"/>
      <c r="V31" s="780"/>
    </row>
    <row r="32" spans="1:27" x14ac:dyDescent="0.2">
      <c r="H32" s="740" t="s">
        <v>410</v>
      </c>
      <c r="I32" s="741"/>
      <c r="J32" s="742"/>
      <c r="K32" s="743">
        <f>'P2 Area'!Q18</f>
        <v>0</v>
      </c>
      <c r="L32" s="743">
        <f>'P2 Area'!R18</f>
        <v>0</v>
      </c>
      <c r="M32" s="743">
        <f>'P2 Area'!S18</f>
        <v>0</v>
      </c>
      <c r="N32" s="743">
        <f>'P2 Area'!T18</f>
        <v>0</v>
      </c>
      <c r="O32" s="743">
        <f>'P2 Area'!U18</f>
        <v>0</v>
      </c>
      <c r="P32" s="743">
        <f>'P2 Area'!V18</f>
        <v>0</v>
      </c>
      <c r="Q32" s="743">
        <f>'P2 Area'!W18</f>
        <v>0</v>
      </c>
      <c r="R32" s="743">
        <f>'P2 Area'!X18</f>
        <v>0</v>
      </c>
      <c r="S32" s="743">
        <f>'P2 Area'!Y18</f>
        <v>0</v>
      </c>
      <c r="T32" s="743">
        <f>'P2 Area'!Z18</f>
        <v>0</v>
      </c>
      <c r="U32" s="743">
        <f>'P2 Area'!AA18</f>
        <v>0</v>
      </c>
      <c r="V32" s="744">
        <f>'P2 Area'!AB18</f>
        <v>0</v>
      </c>
    </row>
    <row r="33" spans="8:22" x14ac:dyDescent="0.2">
      <c r="H33" s="740" t="s">
        <v>411</v>
      </c>
      <c r="I33" s="741" t="s">
        <v>404</v>
      </c>
      <c r="J33" s="750">
        <v>900</v>
      </c>
      <c r="K33" s="710">
        <f>K31*K32*$J$33</f>
        <v>0</v>
      </c>
      <c r="L33" s="710">
        <f t="shared" ref="L33:V33" si="11">L31*L32*$J$33</f>
        <v>0</v>
      </c>
      <c r="M33" s="710">
        <f t="shared" si="11"/>
        <v>0</v>
      </c>
      <c r="N33" s="710">
        <f t="shared" si="11"/>
        <v>0</v>
      </c>
      <c r="O33" s="710">
        <f t="shared" si="11"/>
        <v>0</v>
      </c>
      <c r="P33" s="710">
        <f t="shared" si="11"/>
        <v>0</v>
      </c>
      <c r="Q33" s="710">
        <f t="shared" si="11"/>
        <v>0</v>
      </c>
      <c r="R33" s="710">
        <f t="shared" si="11"/>
        <v>0</v>
      </c>
      <c r="S33" s="710">
        <f t="shared" si="11"/>
        <v>0</v>
      </c>
      <c r="T33" s="710">
        <f t="shared" si="11"/>
        <v>0</v>
      </c>
      <c r="U33" s="710">
        <f t="shared" si="11"/>
        <v>0</v>
      </c>
      <c r="V33" s="724">
        <f t="shared" si="11"/>
        <v>0</v>
      </c>
    </row>
    <row r="34" spans="8:22" ht="13.5" thickBot="1" x14ac:dyDescent="0.25">
      <c r="H34" s="751" t="s">
        <v>329</v>
      </c>
      <c r="I34" s="745"/>
      <c r="J34" s="752"/>
      <c r="K34" s="753"/>
      <c r="L34" s="753"/>
      <c r="M34" s="753"/>
      <c r="N34" s="753"/>
      <c r="O34" s="753"/>
      <c r="P34" s="753"/>
      <c r="Q34" s="753"/>
      <c r="R34" s="753"/>
      <c r="S34" s="753"/>
      <c r="T34" s="753"/>
      <c r="U34" s="753"/>
      <c r="V34" s="754"/>
    </row>
  </sheetData>
  <mergeCells count="41">
    <mergeCell ref="H24:I24"/>
    <mergeCell ref="H26:I26"/>
    <mergeCell ref="H28:I28"/>
    <mergeCell ref="A14:F14"/>
    <mergeCell ref="H14:V14"/>
    <mergeCell ref="H15:I15"/>
    <mergeCell ref="H16:I16"/>
    <mergeCell ref="H17:I17"/>
    <mergeCell ref="C21:D21"/>
    <mergeCell ref="H20:I20"/>
    <mergeCell ref="F11:G11"/>
    <mergeCell ref="L11:M11"/>
    <mergeCell ref="R11:S11"/>
    <mergeCell ref="F12:G12"/>
    <mergeCell ref="L12:M12"/>
    <mergeCell ref="R12:S12"/>
    <mergeCell ref="F9:G9"/>
    <mergeCell ref="L9:M9"/>
    <mergeCell ref="R9:S9"/>
    <mergeCell ref="F10:G10"/>
    <mergeCell ref="L10:M10"/>
    <mergeCell ref="R10:S10"/>
    <mergeCell ref="F7:G7"/>
    <mergeCell ref="L7:M7"/>
    <mergeCell ref="R7:S7"/>
    <mergeCell ref="F8:G8"/>
    <mergeCell ref="L8:M8"/>
    <mergeCell ref="R8:S8"/>
    <mergeCell ref="F5:G5"/>
    <mergeCell ref="L5:M5"/>
    <mergeCell ref="R5:S5"/>
    <mergeCell ref="F6:G6"/>
    <mergeCell ref="L6:M6"/>
    <mergeCell ref="R6:S6"/>
    <mergeCell ref="A3:D3"/>
    <mergeCell ref="F3:J3"/>
    <mergeCell ref="L3:P3"/>
    <mergeCell ref="R3:V3"/>
    <mergeCell ref="F4:G4"/>
    <mergeCell ref="L4:M4"/>
    <mergeCell ref="R4:S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004D-9307-466C-B0C7-CA383B1DC2EA}">
  <dimension ref="A1:J21"/>
  <sheetViews>
    <sheetView workbookViewId="0">
      <selection activeCell="M26" sqref="M26"/>
    </sheetView>
  </sheetViews>
  <sheetFormatPr defaultRowHeight="12.75" x14ac:dyDescent="0.2"/>
  <cols>
    <col min="1" max="1" width="20.83203125" customWidth="1"/>
    <col min="7" max="7" width="15.6640625" customWidth="1"/>
  </cols>
  <sheetData>
    <row r="1" spans="1:10" x14ac:dyDescent="0.2">
      <c r="J1" s="536" t="s">
        <v>435</v>
      </c>
    </row>
    <row r="2" spans="1:10" x14ac:dyDescent="0.2">
      <c r="A2" t="s">
        <v>434</v>
      </c>
      <c r="B2">
        <f>B3+B4</f>
        <v>591</v>
      </c>
      <c r="G2" s="536" t="s">
        <v>428</v>
      </c>
    </row>
    <row r="3" spans="1:10" x14ac:dyDescent="0.2">
      <c r="A3" t="s">
        <v>416</v>
      </c>
      <c r="B3">
        <v>536</v>
      </c>
      <c r="D3" t="s">
        <v>420</v>
      </c>
      <c r="E3">
        <v>88</v>
      </c>
      <c r="G3" t="s">
        <v>312</v>
      </c>
      <c r="H3">
        <f>B5/B2</f>
        <v>4315.5668358714047</v>
      </c>
      <c r="J3">
        <v>5000</v>
      </c>
    </row>
    <row r="4" spans="1:10" x14ac:dyDescent="0.2">
      <c r="A4" t="s">
        <v>417</v>
      </c>
      <c r="B4">
        <v>55</v>
      </c>
      <c r="D4" t="s">
        <v>421</v>
      </c>
      <c r="E4">
        <v>130</v>
      </c>
      <c r="G4" t="s">
        <v>314</v>
      </c>
      <c r="H4">
        <f>B6*1000/B2</f>
        <v>1412.351945854484</v>
      </c>
      <c r="J4">
        <v>1200</v>
      </c>
    </row>
    <row r="5" spans="1:10" x14ac:dyDescent="0.2">
      <c r="A5" t="s">
        <v>418</v>
      </c>
      <c r="B5">
        <v>2550500</v>
      </c>
      <c r="D5" t="s">
        <v>422</v>
      </c>
      <c r="E5">
        <v>160</v>
      </c>
      <c r="G5" t="s">
        <v>429</v>
      </c>
      <c r="H5">
        <f>SUM(D7:D9)*1000/B2</f>
        <v>2294.4162436548222</v>
      </c>
      <c r="J5">
        <f>J3-J4-J6</f>
        <v>300</v>
      </c>
    </row>
    <row r="6" spans="1:10" x14ac:dyDescent="0.2">
      <c r="A6" t="s">
        <v>419</v>
      </c>
      <c r="B6">
        <v>834.7</v>
      </c>
      <c r="D6" t="s">
        <v>423</v>
      </c>
      <c r="E6">
        <v>120</v>
      </c>
      <c r="G6" t="s">
        <v>430</v>
      </c>
      <c r="H6">
        <f>H3-H4-H5</f>
        <v>608.79864636209822</v>
      </c>
      <c r="J6">
        <v>3500</v>
      </c>
    </row>
    <row r="7" spans="1:10" x14ac:dyDescent="0.2">
      <c r="A7" t="s">
        <v>424</v>
      </c>
      <c r="B7">
        <v>2500</v>
      </c>
      <c r="C7" s="533">
        <v>0.3</v>
      </c>
      <c r="D7">
        <f>B7*C7</f>
        <v>750</v>
      </c>
      <c r="G7" t="s">
        <v>431</v>
      </c>
      <c r="H7" s="628">
        <f>H6*B2/B18/1000</f>
        <v>2.3986666666666672</v>
      </c>
      <c r="J7">
        <v>15</v>
      </c>
    </row>
    <row r="8" spans="1:10" x14ac:dyDescent="0.2">
      <c r="A8" t="s">
        <v>425</v>
      </c>
      <c r="B8">
        <v>1000</v>
      </c>
      <c r="C8" s="533">
        <v>0.3</v>
      </c>
      <c r="D8">
        <f t="shared" ref="D8:D9" si="0">B8*C8</f>
        <v>300</v>
      </c>
      <c r="G8" t="s">
        <v>436</v>
      </c>
      <c r="J8">
        <f>J7*1000*B18/J6</f>
        <v>642.85714285714289</v>
      </c>
    </row>
    <row r="9" spans="1:10" x14ac:dyDescent="0.2">
      <c r="A9" t="s">
        <v>360</v>
      </c>
      <c r="B9">
        <v>340</v>
      </c>
      <c r="C9" s="533">
        <v>0.9</v>
      </c>
      <c r="D9">
        <f t="shared" si="0"/>
        <v>306</v>
      </c>
    </row>
    <row r="12" spans="1:10" x14ac:dyDescent="0.2">
      <c r="A12" t="s">
        <v>402</v>
      </c>
      <c r="B12">
        <f>50*0.46</f>
        <v>23</v>
      </c>
      <c r="C12">
        <v>12</v>
      </c>
      <c r="D12">
        <f>B12*C12</f>
        <v>276</v>
      </c>
      <c r="J12">
        <v>300</v>
      </c>
    </row>
    <row r="14" spans="1:10" x14ac:dyDescent="0.2">
      <c r="A14" t="s">
        <v>426</v>
      </c>
      <c r="B14">
        <v>7</v>
      </c>
    </row>
    <row r="15" spans="1:10" x14ac:dyDescent="0.2">
      <c r="A15" t="s">
        <v>427</v>
      </c>
      <c r="B15">
        <v>11</v>
      </c>
    </row>
    <row r="16" spans="1:10" x14ac:dyDescent="0.2">
      <c r="B16">
        <f>SUM(B14:B15)</f>
        <v>18</v>
      </c>
      <c r="C16">
        <f>B2/B16</f>
        <v>32.833333333333336</v>
      </c>
      <c r="J16">
        <f>J8/50</f>
        <v>12.857142857142858</v>
      </c>
    </row>
    <row r="18" spans="1:10" x14ac:dyDescent="0.2">
      <c r="A18" t="s">
        <v>432</v>
      </c>
      <c r="B18">
        <v>150</v>
      </c>
      <c r="C18" s="628">
        <v>3.6</v>
      </c>
      <c r="D18">
        <f>C18*B18</f>
        <v>540</v>
      </c>
    </row>
    <row r="19" spans="1:10" x14ac:dyDescent="0.2">
      <c r="A19" t="s">
        <v>433</v>
      </c>
      <c r="B19">
        <v>80</v>
      </c>
      <c r="C19">
        <v>3.6</v>
      </c>
      <c r="D19">
        <f>C19*B19</f>
        <v>288</v>
      </c>
    </row>
    <row r="20" spans="1:10" x14ac:dyDescent="0.2">
      <c r="B20">
        <f>SUM(B18:B19)</f>
        <v>230</v>
      </c>
      <c r="D20">
        <f>SUM(D18:D19)</f>
        <v>828</v>
      </c>
    </row>
    <row r="21" spans="1:10" x14ac:dyDescent="0.2">
      <c r="A21" t="s">
        <v>437</v>
      </c>
      <c r="B21">
        <v>5</v>
      </c>
      <c r="C21">
        <f>B20/B21</f>
        <v>46</v>
      </c>
      <c r="J21">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C135"/>
  <sheetViews>
    <sheetView showGridLines="0" zoomScale="120" zoomScaleNormal="120" workbookViewId="0">
      <pane xSplit="2" ySplit="6" topLeftCell="E7" activePane="bottomRight" state="frozen"/>
      <selection activeCell="D7" sqref="D7"/>
      <selection pane="topRight" activeCell="D7" sqref="D7"/>
      <selection pane="bottomLeft" activeCell="D7" sqref="D7"/>
      <selection pane="bottomRight" activeCell="P8" sqref="P8"/>
    </sheetView>
  </sheetViews>
  <sheetFormatPr defaultRowHeight="12.75" x14ac:dyDescent="0.2"/>
  <cols>
    <col min="1" max="1" width="17.6640625" style="460" customWidth="1"/>
    <col min="2" max="2" width="8.5" style="792" customWidth="1"/>
    <col min="3" max="3" width="10.83203125" style="460" customWidth="1"/>
    <col min="4" max="4" width="11" style="460" customWidth="1"/>
    <col min="5" max="14" width="10.83203125" style="460" customWidth="1"/>
    <col min="15" max="15" width="9.33203125" style="460"/>
    <col min="16" max="16" width="33" style="460" customWidth="1"/>
    <col min="17" max="17" width="11.1640625" style="460" bestFit="1" customWidth="1"/>
    <col min="18" max="16384" width="9.33203125" style="460"/>
  </cols>
  <sheetData>
    <row r="1" spans="1:29" ht="18.75" x14ac:dyDescent="0.3">
      <c r="A1" s="835" t="s">
        <v>283</v>
      </c>
      <c r="B1" s="835"/>
      <c r="C1" s="835"/>
      <c r="D1" s="835"/>
      <c r="E1" s="835"/>
      <c r="F1" s="835"/>
      <c r="G1" s="835"/>
      <c r="H1" s="835"/>
      <c r="I1" s="835"/>
      <c r="J1" s="835"/>
      <c r="K1" s="835"/>
      <c r="L1" s="835"/>
      <c r="M1" s="835"/>
      <c r="N1" s="835"/>
    </row>
    <row r="3" spans="1:29" ht="15.75" x14ac:dyDescent="0.25">
      <c r="A3" s="458" t="s">
        <v>175</v>
      </c>
      <c r="B3" s="785"/>
      <c r="C3" s="459"/>
      <c r="D3" s="459"/>
      <c r="E3" s="459"/>
      <c r="F3" s="459"/>
      <c r="G3" s="459"/>
      <c r="H3" s="459"/>
      <c r="I3" s="459"/>
      <c r="J3" s="459"/>
      <c r="K3" s="459"/>
      <c r="L3" s="459"/>
      <c r="M3" s="459"/>
      <c r="N3" s="459"/>
      <c r="O3" s="459"/>
      <c r="Q3" s="459"/>
      <c r="R3" s="459"/>
      <c r="S3" s="459"/>
      <c r="T3" s="459"/>
      <c r="U3" s="459"/>
      <c r="V3" s="459"/>
      <c r="W3" s="459"/>
      <c r="X3" s="459"/>
      <c r="Y3" s="459"/>
      <c r="Z3" s="459"/>
      <c r="AA3" s="459"/>
      <c r="AB3" s="459"/>
    </row>
    <row r="4" spans="1:29" ht="15.75" x14ac:dyDescent="0.25">
      <c r="A4" s="461"/>
      <c r="B4" s="785"/>
      <c r="C4" s="459"/>
      <c r="D4" s="459"/>
      <c r="E4" s="459"/>
      <c r="F4" s="459"/>
      <c r="G4" s="459"/>
      <c r="H4" s="459"/>
      <c r="I4" s="459"/>
      <c r="J4" s="459"/>
      <c r="K4" s="459"/>
      <c r="L4" s="459"/>
      <c r="M4" s="459"/>
      <c r="N4" s="459"/>
      <c r="O4" s="459"/>
      <c r="Q4" s="459"/>
      <c r="R4" s="459"/>
      <c r="S4" s="459"/>
      <c r="T4" s="459"/>
      <c r="U4" s="459"/>
      <c r="V4" s="459"/>
      <c r="W4" s="459"/>
      <c r="X4" s="459"/>
      <c r="Y4" s="459"/>
      <c r="Z4" s="459"/>
      <c r="AA4" s="459"/>
      <c r="AB4" s="459"/>
    </row>
    <row r="5" spans="1:29" ht="16.5" thickBot="1" x14ac:dyDescent="0.3">
      <c r="A5" s="445" t="s">
        <v>80</v>
      </c>
      <c r="B5" s="786"/>
      <c r="C5" s="446"/>
      <c r="D5" s="446"/>
      <c r="E5" s="446"/>
      <c r="F5" s="446"/>
      <c r="G5" s="446"/>
      <c r="H5" s="446"/>
      <c r="I5" s="446"/>
      <c r="J5" s="446"/>
      <c r="K5" s="446"/>
      <c r="L5" s="446"/>
      <c r="M5" s="446"/>
      <c r="N5" s="446"/>
      <c r="O5" s="459"/>
      <c r="P5" s="445" t="s">
        <v>78</v>
      </c>
      <c r="Q5" s="446"/>
      <c r="R5" s="446"/>
      <c r="S5" s="446"/>
      <c r="T5" s="446"/>
      <c r="U5" s="446"/>
      <c r="V5" s="446"/>
      <c r="W5" s="446"/>
      <c r="X5" s="446"/>
      <c r="Y5" s="446"/>
      <c r="Z5" s="446"/>
      <c r="AA5" s="446"/>
      <c r="AB5" s="446"/>
    </row>
    <row r="6" spans="1:29" ht="25.5" x14ac:dyDescent="0.2">
      <c r="A6" s="470" t="s">
        <v>45</v>
      </c>
      <c r="B6" s="787" t="s">
        <v>77</v>
      </c>
      <c r="C6" s="448" t="str">
        <f>Summary!D5</f>
        <v>Mar</v>
      </c>
      <c r="D6" s="448" t="str">
        <f>Summary!E5</f>
        <v>Apr</v>
      </c>
      <c r="E6" s="448" t="str">
        <f>Summary!F5</f>
        <v>May</v>
      </c>
      <c r="F6" s="448" t="str">
        <f>Summary!G5</f>
        <v>Jun</v>
      </c>
      <c r="G6" s="448" t="str">
        <f>Summary!H5</f>
        <v>Jul</v>
      </c>
      <c r="H6" s="449" t="str">
        <f>Summary!I5</f>
        <v>Aug</v>
      </c>
      <c r="I6" s="448" t="str">
        <f>Summary!J5</f>
        <v>Sep</v>
      </c>
      <c r="J6" s="448" t="str">
        <f>Summary!K5</f>
        <v>Oct</v>
      </c>
      <c r="K6" s="448" t="str">
        <f>Summary!L5</f>
        <v>Nov</v>
      </c>
      <c r="L6" s="448" t="str">
        <f>Summary!M5</f>
        <v>Dec</v>
      </c>
      <c r="M6" s="448" t="str">
        <f>Summary!N5</f>
        <v>Jan</v>
      </c>
      <c r="N6" s="472" t="str">
        <f>Summary!O5</f>
        <v>Feb</v>
      </c>
      <c r="O6" s="459"/>
      <c r="P6" s="447"/>
      <c r="Q6" s="448" t="str">
        <f>C6</f>
        <v>Mar</v>
      </c>
      <c r="R6" s="448" t="str">
        <f t="shared" ref="R6:AB6" si="0">D6</f>
        <v>Apr</v>
      </c>
      <c r="S6" s="448" t="str">
        <f t="shared" si="0"/>
        <v>May</v>
      </c>
      <c r="T6" s="448" t="str">
        <f t="shared" si="0"/>
        <v>Jun</v>
      </c>
      <c r="U6" s="448" t="str">
        <f t="shared" si="0"/>
        <v>Jul</v>
      </c>
      <c r="V6" s="449" t="str">
        <f t="shared" si="0"/>
        <v>Aug</v>
      </c>
      <c r="W6" s="448" t="str">
        <f t="shared" si="0"/>
        <v>Sep</v>
      </c>
      <c r="X6" s="448" t="str">
        <f t="shared" si="0"/>
        <v>Oct</v>
      </c>
      <c r="Y6" s="448" t="str">
        <f t="shared" si="0"/>
        <v>Nov</v>
      </c>
      <c r="Z6" s="448" t="str">
        <f t="shared" si="0"/>
        <v>Dec</v>
      </c>
      <c r="AA6" s="448" t="str">
        <f t="shared" si="0"/>
        <v>Jan</v>
      </c>
      <c r="AB6" s="448" t="str">
        <f t="shared" si="0"/>
        <v>Feb</v>
      </c>
    </row>
    <row r="7" spans="1:29" x14ac:dyDescent="0.2">
      <c r="A7" s="294"/>
      <c r="B7" s="777"/>
      <c r="C7" s="296"/>
      <c r="D7" s="296"/>
      <c r="E7" s="296"/>
      <c r="F7" s="296"/>
      <c r="G7" s="296"/>
      <c r="H7" s="296"/>
      <c r="I7" s="296"/>
      <c r="J7" s="296"/>
      <c r="K7" s="296"/>
      <c r="L7" s="296"/>
      <c r="M7" s="296"/>
      <c r="N7" s="297"/>
      <c r="O7" s="459"/>
      <c r="P7" s="827" t="s">
        <v>584</v>
      </c>
      <c r="Q7" s="450">
        <f t="shared" ref="Q7:Q15" si="1">SUMIFS($B$7:$B$107,C$7:C$107,$P7)</f>
        <v>0</v>
      </c>
      <c r="R7" s="450">
        <f t="shared" ref="R7:R15" si="2">SUMIFS($B$7:$B$107,D$7:D$107,$P7)</f>
        <v>0</v>
      </c>
      <c r="S7" s="450">
        <f t="shared" ref="S7:S15" si="3">SUMIFS($B$7:$B$107,E$7:E$107,$P7)</f>
        <v>0</v>
      </c>
      <c r="T7" s="450">
        <f t="shared" ref="T7:T15" si="4">SUMIFS($B$7:$B$107,F$7:F$107,$P7)</f>
        <v>0</v>
      </c>
      <c r="U7" s="450">
        <f t="shared" ref="U7:U15" si="5">SUMIFS($B$7:$B$107,G$7:G$107,$P7)</f>
        <v>0</v>
      </c>
      <c r="V7" s="451">
        <f t="shared" ref="V7:V15" si="6">SUMIFS($B$7:$B$107,H$7:H$107,$P7)</f>
        <v>0</v>
      </c>
      <c r="W7" s="450">
        <f t="shared" ref="W7:W15" si="7">SUMIFS($B$7:$B$107,I$7:I$107,$P7)</f>
        <v>0</v>
      </c>
      <c r="X7" s="450">
        <f t="shared" ref="X7:X15" si="8">SUMIFS($B$7:$B$107,J$7:J$107,$P7)</f>
        <v>0</v>
      </c>
      <c r="Y7" s="450">
        <f t="shared" ref="Y7:Y15" si="9">SUMIFS($B$7:$B$107,K$7:K$107,$P7)</f>
        <v>0</v>
      </c>
      <c r="Z7" s="450">
        <f t="shared" ref="Z7:Z15" si="10">SUMIFS($B$7:$B$107,L$7:L$107,$P7)</f>
        <v>0</v>
      </c>
      <c r="AA7" s="450">
        <f t="shared" ref="AA7:AA15" si="11">SUMIFS($B$7:$B$107,M$7:M$107,$P7)</f>
        <v>0</v>
      </c>
      <c r="AB7" s="450">
        <f t="shared" ref="AB7:AB15" si="12">SUMIFS($B$7:$B$107,N$7:N$107,$P7)</f>
        <v>0</v>
      </c>
      <c r="AC7" s="460">
        <f t="shared" ref="AC7:AC8" si="13">MAX(Q7:AB7)</f>
        <v>0</v>
      </c>
    </row>
    <row r="8" spans="1:29" x14ac:dyDescent="0.2">
      <c r="A8" s="298"/>
      <c r="B8" s="312"/>
      <c r="C8" s="299"/>
      <c r="D8" s="299"/>
      <c r="E8" s="299"/>
      <c r="F8" s="299"/>
      <c r="G8" s="299"/>
      <c r="H8" s="299"/>
      <c r="I8" s="299"/>
      <c r="J8" s="299"/>
      <c r="K8" s="299"/>
      <c r="L8" s="299"/>
      <c r="M8" s="299"/>
      <c r="N8" s="300"/>
      <c r="O8" s="459"/>
      <c r="P8" s="827" t="s">
        <v>585</v>
      </c>
      <c r="Q8" s="453">
        <f t="shared" si="1"/>
        <v>0</v>
      </c>
      <c r="R8" s="453">
        <f t="shared" si="2"/>
        <v>0</v>
      </c>
      <c r="S8" s="453">
        <f t="shared" si="3"/>
        <v>0</v>
      </c>
      <c r="T8" s="453">
        <f t="shared" si="4"/>
        <v>0</v>
      </c>
      <c r="U8" s="453">
        <f t="shared" si="5"/>
        <v>0</v>
      </c>
      <c r="V8" s="454">
        <f t="shared" si="6"/>
        <v>0</v>
      </c>
      <c r="W8" s="453">
        <f t="shared" si="7"/>
        <v>0</v>
      </c>
      <c r="X8" s="453">
        <f t="shared" si="8"/>
        <v>0</v>
      </c>
      <c r="Y8" s="453">
        <f t="shared" si="9"/>
        <v>0</v>
      </c>
      <c r="Z8" s="453">
        <f t="shared" si="10"/>
        <v>0</v>
      </c>
      <c r="AA8" s="453">
        <f t="shared" si="11"/>
        <v>0</v>
      </c>
      <c r="AB8" s="453">
        <f t="shared" si="12"/>
        <v>0</v>
      </c>
      <c r="AC8" s="460">
        <f t="shared" si="13"/>
        <v>0</v>
      </c>
    </row>
    <row r="9" spans="1:29" x14ac:dyDescent="0.2">
      <c r="A9" s="298"/>
      <c r="B9" s="312"/>
      <c r="C9" s="299"/>
      <c r="D9" s="299"/>
      <c r="E9" s="299"/>
      <c r="F9" s="299"/>
      <c r="G9" s="299"/>
      <c r="H9" s="299"/>
      <c r="I9" s="299"/>
      <c r="J9" s="299"/>
      <c r="K9" s="299"/>
      <c r="L9" s="299"/>
      <c r="M9" s="299"/>
      <c r="N9" s="300"/>
      <c r="O9" s="459"/>
      <c r="P9" s="827" t="s">
        <v>586</v>
      </c>
      <c r="Q9" s="453">
        <f t="shared" si="1"/>
        <v>0</v>
      </c>
      <c r="R9" s="453">
        <f t="shared" si="2"/>
        <v>0</v>
      </c>
      <c r="S9" s="453">
        <f t="shared" si="3"/>
        <v>0</v>
      </c>
      <c r="T9" s="453">
        <f t="shared" si="4"/>
        <v>0</v>
      </c>
      <c r="U9" s="453">
        <f t="shared" si="5"/>
        <v>0</v>
      </c>
      <c r="V9" s="454">
        <f t="shared" si="6"/>
        <v>0</v>
      </c>
      <c r="W9" s="453">
        <f t="shared" si="7"/>
        <v>0</v>
      </c>
      <c r="X9" s="453">
        <f t="shared" si="8"/>
        <v>0</v>
      </c>
      <c r="Y9" s="453">
        <f t="shared" si="9"/>
        <v>0</v>
      </c>
      <c r="Z9" s="453">
        <f t="shared" si="10"/>
        <v>0</v>
      </c>
      <c r="AA9" s="453">
        <f t="shared" si="11"/>
        <v>0</v>
      </c>
      <c r="AB9" s="453">
        <f t="shared" si="12"/>
        <v>0</v>
      </c>
      <c r="AC9" s="460">
        <f>MAX(Q9:AB9)</f>
        <v>0</v>
      </c>
    </row>
    <row r="10" spans="1:29" x14ac:dyDescent="0.2">
      <c r="A10" s="298"/>
      <c r="B10" s="312"/>
      <c r="C10" s="299"/>
      <c r="D10" s="299"/>
      <c r="E10" s="299"/>
      <c r="F10" s="299"/>
      <c r="G10" s="299"/>
      <c r="H10" s="299"/>
      <c r="I10" s="299"/>
      <c r="J10" s="299"/>
      <c r="K10" s="299"/>
      <c r="L10" s="299"/>
      <c r="M10" s="299"/>
      <c r="N10" s="300"/>
      <c r="O10" s="459"/>
      <c r="P10" s="827"/>
      <c r="Q10" s="453">
        <f t="shared" si="1"/>
        <v>0</v>
      </c>
      <c r="R10" s="453">
        <f t="shared" si="2"/>
        <v>0</v>
      </c>
      <c r="S10" s="453">
        <f t="shared" si="3"/>
        <v>0</v>
      </c>
      <c r="T10" s="453">
        <f t="shared" si="4"/>
        <v>0</v>
      </c>
      <c r="U10" s="453">
        <f t="shared" si="5"/>
        <v>0</v>
      </c>
      <c r="V10" s="454">
        <f t="shared" si="6"/>
        <v>0</v>
      </c>
      <c r="W10" s="453">
        <f t="shared" si="7"/>
        <v>0</v>
      </c>
      <c r="X10" s="453">
        <f t="shared" si="8"/>
        <v>0</v>
      </c>
      <c r="Y10" s="453">
        <f t="shared" si="9"/>
        <v>0</v>
      </c>
      <c r="Z10" s="453">
        <f t="shared" si="10"/>
        <v>0</v>
      </c>
      <c r="AA10" s="453">
        <f t="shared" si="11"/>
        <v>0</v>
      </c>
      <c r="AB10" s="453">
        <f t="shared" si="12"/>
        <v>0</v>
      </c>
      <c r="AC10" s="460">
        <f t="shared" ref="AC10:AC18" si="14">MAX(Q10:AB10)</f>
        <v>0</v>
      </c>
    </row>
    <row r="11" spans="1:29" x14ac:dyDescent="0.2">
      <c r="A11" s="298"/>
      <c r="B11" s="312"/>
      <c r="C11" s="299"/>
      <c r="D11" s="299"/>
      <c r="E11" s="299"/>
      <c r="F11" s="299"/>
      <c r="G11" s="299"/>
      <c r="H11" s="299"/>
      <c r="I11" s="299"/>
      <c r="J11" s="299"/>
      <c r="K11" s="299"/>
      <c r="L11" s="299"/>
      <c r="M11" s="299"/>
      <c r="N11" s="300"/>
      <c r="O11" s="459"/>
      <c r="P11" s="827"/>
      <c r="Q11" s="453">
        <f t="shared" si="1"/>
        <v>0</v>
      </c>
      <c r="R11" s="453">
        <f t="shared" si="2"/>
        <v>0</v>
      </c>
      <c r="S11" s="453">
        <f t="shared" si="3"/>
        <v>0</v>
      </c>
      <c r="T11" s="453">
        <f t="shared" si="4"/>
        <v>0</v>
      </c>
      <c r="U11" s="453">
        <f t="shared" si="5"/>
        <v>0</v>
      </c>
      <c r="V11" s="454">
        <f t="shared" si="6"/>
        <v>0</v>
      </c>
      <c r="W11" s="453">
        <f t="shared" si="7"/>
        <v>0</v>
      </c>
      <c r="X11" s="453">
        <f t="shared" si="8"/>
        <v>0</v>
      </c>
      <c r="Y11" s="453">
        <f t="shared" si="9"/>
        <v>0</v>
      </c>
      <c r="Z11" s="453">
        <f t="shared" si="10"/>
        <v>0</v>
      </c>
      <c r="AA11" s="453">
        <f t="shared" si="11"/>
        <v>0</v>
      </c>
      <c r="AB11" s="453">
        <f t="shared" si="12"/>
        <v>0</v>
      </c>
      <c r="AC11" s="460">
        <f t="shared" si="14"/>
        <v>0</v>
      </c>
    </row>
    <row r="12" spans="1:29" x14ac:dyDescent="0.2">
      <c r="A12" s="298"/>
      <c r="B12" s="312"/>
      <c r="C12" s="299"/>
      <c r="D12" s="299"/>
      <c r="E12" s="299"/>
      <c r="F12" s="299"/>
      <c r="G12" s="299"/>
      <c r="H12" s="299"/>
      <c r="I12" s="299"/>
      <c r="J12" s="299"/>
      <c r="K12" s="299"/>
      <c r="L12" s="299"/>
      <c r="M12" s="299"/>
      <c r="N12" s="300"/>
      <c r="O12" s="459"/>
      <c r="P12" s="827"/>
      <c r="Q12" s="453">
        <f t="shared" si="1"/>
        <v>0</v>
      </c>
      <c r="R12" s="453">
        <f t="shared" si="2"/>
        <v>0</v>
      </c>
      <c r="S12" s="453">
        <f t="shared" si="3"/>
        <v>0</v>
      </c>
      <c r="T12" s="453">
        <f t="shared" si="4"/>
        <v>0</v>
      </c>
      <c r="U12" s="453">
        <f t="shared" si="5"/>
        <v>0</v>
      </c>
      <c r="V12" s="454">
        <f t="shared" si="6"/>
        <v>0</v>
      </c>
      <c r="W12" s="453">
        <f t="shared" si="7"/>
        <v>0</v>
      </c>
      <c r="X12" s="453">
        <f t="shared" si="8"/>
        <v>0</v>
      </c>
      <c r="Y12" s="453">
        <f t="shared" si="9"/>
        <v>0</v>
      </c>
      <c r="Z12" s="453">
        <f t="shared" si="10"/>
        <v>0</v>
      </c>
      <c r="AA12" s="453">
        <f t="shared" si="11"/>
        <v>0</v>
      </c>
      <c r="AB12" s="453">
        <f t="shared" si="12"/>
        <v>0</v>
      </c>
      <c r="AC12" s="460">
        <f t="shared" si="14"/>
        <v>0</v>
      </c>
    </row>
    <row r="13" spans="1:29" x14ac:dyDescent="0.2">
      <c r="A13" s="298"/>
      <c r="B13" s="312"/>
      <c r="C13" s="299"/>
      <c r="D13" s="299"/>
      <c r="E13" s="299"/>
      <c r="F13" s="299"/>
      <c r="G13" s="299"/>
      <c r="H13" s="299"/>
      <c r="I13" s="299"/>
      <c r="J13" s="299"/>
      <c r="K13" s="299"/>
      <c r="L13" s="299"/>
      <c r="M13" s="299"/>
      <c r="N13" s="300"/>
      <c r="O13" s="459"/>
      <c r="P13" s="452"/>
      <c r="Q13" s="453">
        <f t="shared" si="1"/>
        <v>0</v>
      </c>
      <c r="R13" s="453">
        <f t="shared" si="2"/>
        <v>0</v>
      </c>
      <c r="S13" s="453">
        <f t="shared" si="3"/>
        <v>0</v>
      </c>
      <c r="T13" s="453">
        <f t="shared" si="4"/>
        <v>0</v>
      </c>
      <c r="U13" s="453">
        <f t="shared" si="5"/>
        <v>0</v>
      </c>
      <c r="V13" s="454">
        <f t="shared" si="6"/>
        <v>0</v>
      </c>
      <c r="W13" s="453">
        <f t="shared" si="7"/>
        <v>0</v>
      </c>
      <c r="X13" s="453">
        <f t="shared" si="8"/>
        <v>0</v>
      </c>
      <c r="Y13" s="453">
        <f t="shared" si="9"/>
        <v>0</v>
      </c>
      <c r="Z13" s="453">
        <f t="shared" si="10"/>
        <v>0</v>
      </c>
      <c r="AA13" s="453">
        <f t="shared" si="11"/>
        <v>0</v>
      </c>
      <c r="AB13" s="453">
        <f t="shared" si="12"/>
        <v>0</v>
      </c>
      <c r="AC13" s="460">
        <f t="shared" si="14"/>
        <v>0</v>
      </c>
    </row>
    <row r="14" spans="1:29" x14ac:dyDescent="0.2">
      <c r="A14" s="298"/>
      <c r="B14" s="312"/>
      <c r="C14" s="299"/>
      <c r="D14" s="299"/>
      <c r="E14" s="299"/>
      <c r="F14" s="299"/>
      <c r="G14" s="299"/>
      <c r="H14" s="299"/>
      <c r="I14" s="299"/>
      <c r="J14" s="299"/>
      <c r="K14" s="299"/>
      <c r="L14" s="299"/>
      <c r="M14" s="299"/>
      <c r="N14" s="300"/>
      <c r="O14" s="459"/>
      <c r="P14" s="452"/>
      <c r="Q14" s="453">
        <f t="shared" si="1"/>
        <v>0</v>
      </c>
      <c r="R14" s="453">
        <f t="shared" si="2"/>
        <v>0</v>
      </c>
      <c r="S14" s="453">
        <f t="shared" si="3"/>
        <v>0</v>
      </c>
      <c r="T14" s="453">
        <f t="shared" si="4"/>
        <v>0</v>
      </c>
      <c r="U14" s="453">
        <f t="shared" si="5"/>
        <v>0</v>
      </c>
      <c r="V14" s="454">
        <f t="shared" si="6"/>
        <v>0</v>
      </c>
      <c r="W14" s="453">
        <f t="shared" si="7"/>
        <v>0</v>
      </c>
      <c r="X14" s="453">
        <f t="shared" si="8"/>
        <v>0</v>
      </c>
      <c r="Y14" s="453">
        <f t="shared" si="9"/>
        <v>0</v>
      </c>
      <c r="Z14" s="453">
        <f t="shared" si="10"/>
        <v>0</v>
      </c>
      <c r="AA14" s="453">
        <f t="shared" si="11"/>
        <v>0</v>
      </c>
      <c r="AB14" s="453">
        <f t="shared" si="12"/>
        <v>0</v>
      </c>
      <c r="AC14" s="460">
        <f t="shared" si="14"/>
        <v>0</v>
      </c>
    </row>
    <row r="15" spans="1:29" x14ac:dyDescent="0.2">
      <c r="A15" s="298"/>
      <c r="B15" s="312"/>
      <c r="C15" s="299"/>
      <c r="D15" s="299"/>
      <c r="E15" s="299"/>
      <c r="F15" s="299"/>
      <c r="G15" s="299"/>
      <c r="H15" s="299"/>
      <c r="I15" s="299"/>
      <c r="J15" s="299"/>
      <c r="K15" s="299"/>
      <c r="L15" s="299"/>
      <c r="M15" s="299"/>
      <c r="N15" s="300"/>
      <c r="O15" s="459"/>
      <c r="P15" s="452"/>
      <c r="Q15" s="453">
        <f t="shared" si="1"/>
        <v>0</v>
      </c>
      <c r="R15" s="453">
        <f t="shared" si="2"/>
        <v>0</v>
      </c>
      <c r="S15" s="453">
        <f t="shared" si="3"/>
        <v>0</v>
      </c>
      <c r="T15" s="453">
        <f t="shared" si="4"/>
        <v>0</v>
      </c>
      <c r="U15" s="453">
        <f t="shared" si="5"/>
        <v>0</v>
      </c>
      <c r="V15" s="454">
        <f t="shared" si="6"/>
        <v>0</v>
      </c>
      <c r="W15" s="453">
        <f t="shared" si="7"/>
        <v>0</v>
      </c>
      <c r="X15" s="453">
        <f t="shared" si="8"/>
        <v>0</v>
      </c>
      <c r="Y15" s="453">
        <f t="shared" si="9"/>
        <v>0</v>
      </c>
      <c r="Z15" s="453">
        <f t="shared" si="10"/>
        <v>0</v>
      </c>
      <c r="AA15" s="453">
        <f t="shared" si="11"/>
        <v>0</v>
      </c>
      <c r="AB15" s="453">
        <f t="shared" si="12"/>
        <v>0</v>
      </c>
      <c r="AC15" s="460">
        <f t="shared" si="14"/>
        <v>0</v>
      </c>
    </row>
    <row r="16" spans="1:29" x14ac:dyDescent="0.2">
      <c r="A16" s="298"/>
      <c r="B16" s="312"/>
      <c r="C16" s="299"/>
      <c r="D16" s="299"/>
      <c r="E16" s="299"/>
      <c r="F16" s="299"/>
      <c r="G16" s="299"/>
      <c r="H16" s="299"/>
      <c r="I16" s="299"/>
      <c r="J16" s="299"/>
      <c r="K16" s="299"/>
      <c r="L16" s="299"/>
      <c r="M16" s="299"/>
      <c r="N16" s="300"/>
      <c r="O16" s="459"/>
      <c r="P16" s="452"/>
      <c r="Q16" s="453">
        <f t="shared" ref="Q16:AB18" si="15">SUMIFS($B$7:$B$107,C$7:C$107,$P16)</f>
        <v>0</v>
      </c>
      <c r="R16" s="453">
        <f t="shared" si="15"/>
        <v>0</v>
      </c>
      <c r="S16" s="453">
        <f t="shared" si="15"/>
        <v>0</v>
      </c>
      <c r="T16" s="453">
        <f t="shared" si="15"/>
        <v>0</v>
      </c>
      <c r="U16" s="453">
        <f t="shared" si="15"/>
        <v>0</v>
      </c>
      <c r="V16" s="454">
        <f t="shared" si="15"/>
        <v>0</v>
      </c>
      <c r="W16" s="453">
        <f t="shared" si="15"/>
        <v>0</v>
      </c>
      <c r="X16" s="453">
        <f t="shared" si="15"/>
        <v>0</v>
      </c>
      <c r="Y16" s="453">
        <f t="shared" si="15"/>
        <v>0</v>
      </c>
      <c r="Z16" s="453">
        <f t="shared" si="15"/>
        <v>0</v>
      </c>
      <c r="AA16" s="453">
        <f t="shared" si="15"/>
        <v>0</v>
      </c>
      <c r="AB16" s="453">
        <f t="shared" si="15"/>
        <v>0</v>
      </c>
      <c r="AC16" s="460">
        <f t="shared" si="14"/>
        <v>0</v>
      </c>
    </row>
    <row r="17" spans="1:29" x14ac:dyDescent="0.2">
      <c r="A17" s="298"/>
      <c r="B17" s="312"/>
      <c r="C17" s="299"/>
      <c r="D17" s="299"/>
      <c r="E17" s="299"/>
      <c r="F17" s="299"/>
      <c r="G17" s="299"/>
      <c r="H17" s="299"/>
      <c r="I17" s="299"/>
      <c r="J17" s="299"/>
      <c r="K17" s="299"/>
      <c r="L17" s="299"/>
      <c r="M17" s="299"/>
      <c r="N17" s="300"/>
      <c r="O17" s="459"/>
      <c r="P17" s="452" t="s">
        <v>572</v>
      </c>
      <c r="Q17" s="453">
        <f t="shared" si="15"/>
        <v>0</v>
      </c>
      <c r="R17" s="453">
        <f t="shared" si="15"/>
        <v>0</v>
      </c>
      <c r="S17" s="453">
        <f t="shared" si="15"/>
        <v>0</v>
      </c>
      <c r="T17" s="453">
        <f t="shared" si="15"/>
        <v>0</v>
      </c>
      <c r="U17" s="453">
        <f t="shared" si="15"/>
        <v>0</v>
      </c>
      <c r="V17" s="454">
        <f t="shared" si="15"/>
        <v>0</v>
      </c>
      <c r="W17" s="453">
        <f t="shared" si="15"/>
        <v>0</v>
      </c>
      <c r="X17" s="453">
        <f t="shared" si="15"/>
        <v>0</v>
      </c>
      <c r="Y17" s="453">
        <f t="shared" si="15"/>
        <v>0</v>
      </c>
      <c r="Z17" s="453">
        <f t="shared" si="15"/>
        <v>0</v>
      </c>
      <c r="AA17" s="453">
        <f t="shared" si="15"/>
        <v>0</v>
      </c>
      <c r="AB17" s="453">
        <f t="shared" si="15"/>
        <v>0</v>
      </c>
      <c r="AC17" s="460">
        <f t="shared" si="14"/>
        <v>0</v>
      </c>
    </row>
    <row r="18" spans="1:29" x14ac:dyDescent="0.2">
      <c r="A18" s="298"/>
      <c r="B18" s="312"/>
      <c r="C18" s="299"/>
      <c r="D18" s="299"/>
      <c r="E18" s="299"/>
      <c r="F18" s="299"/>
      <c r="G18" s="299"/>
      <c r="H18" s="299"/>
      <c r="I18" s="299"/>
      <c r="J18" s="299"/>
      <c r="K18" s="299"/>
      <c r="L18" s="299"/>
      <c r="M18" s="299"/>
      <c r="N18" s="300"/>
      <c r="O18" s="459"/>
      <c r="P18" s="452" t="s">
        <v>450</v>
      </c>
      <c r="Q18" s="453">
        <f t="shared" si="15"/>
        <v>0</v>
      </c>
      <c r="R18" s="453">
        <f t="shared" si="15"/>
        <v>0</v>
      </c>
      <c r="S18" s="453">
        <f t="shared" si="15"/>
        <v>0</v>
      </c>
      <c r="T18" s="453">
        <f t="shared" si="15"/>
        <v>0</v>
      </c>
      <c r="U18" s="453">
        <f t="shared" si="15"/>
        <v>0</v>
      </c>
      <c r="V18" s="454">
        <f t="shared" si="15"/>
        <v>0</v>
      </c>
      <c r="W18" s="453">
        <f t="shared" si="15"/>
        <v>0</v>
      </c>
      <c r="X18" s="453">
        <f t="shared" si="15"/>
        <v>0</v>
      </c>
      <c r="Y18" s="453">
        <f t="shared" si="15"/>
        <v>0</v>
      </c>
      <c r="Z18" s="453">
        <f t="shared" si="15"/>
        <v>0</v>
      </c>
      <c r="AA18" s="453">
        <f t="shared" si="15"/>
        <v>0</v>
      </c>
      <c r="AB18" s="453">
        <f t="shared" si="15"/>
        <v>0</v>
      </c>
      <c r="AC18" s="460">
        <f t="shared" si="14"/>
        <v>0</v>
      </c>
    </row>
    <row r="19" spans="1:29" ht="13.5" thickBot="1" x14ac:dyDescent="0.25">
      <c r="A19" s="298"/>
      <c r="B19" s="312"/>
      <c r="C19" s="299"/>
      <c r="D19" s="299"/>
      <c r="E19" s="299"/>
      <c r="F19" s="299"/>
      <c r="G19" s="299"/>
      <c r="H19" s="299"/>
      <c r="I19" s="299"/>
      <c r="J19" s="299"/>
      <c r="K19" s="299"/>
      <c r="L19" s="299"/>
      <c r="M19" s="299"/>
      <c r="N19" s="300"/>
      <c r="O19" s="459"/>
      <c r="P19" s="455" t="s">
        <v>67</v>
      </c>
      <c r="Q19" s="456">
        <f t="shared" ref="Q19:AB19" si="16">SUM(Q7:Q18)</f>
        <v>0</v>
      </c>
      <c r="R19" s="456">
        <f t="shared" si="16"/>
        <v>0</v>
      </c>
      <c r="S19" s="456">
        <f t="shared" si="16"/>
        <v>0</v>
      </c>
      <c r="T19" s="456">
        <f t="shared" si="16"/>
        <v>0</v>
      </c>
      <c r="U19" s="456">
        <f t="shared" si="16"/>
        <v>0</v>
      </c>
      <c r="V19" s="457">
        <f t="shared" si="16"/>
        <v>0</v>
      </c>
      <c r="W19" s="456">
        <f t="shared" si="16"/>
        <v>0</v>
      </c>
      <c r="X19" s="456">
        <f t="shared" si="16"/>
        <v>0</v>
      </c>
      <c r="Y19" s="456">
        <f t="shared" si="16"/>
        <v>0</v>
      </c>
      <c r="Z19" s="456">
        <f t="shared" si="16"/>
        <v>0</v>
      </c>
      <c r="AA19" s="456">
        <f t="shared" si="16"/>
        <v>0</v>
      </c>
      <c r="AB19" s="456">
        <f t="shared" si="16"/>
        <v>0</v>
      </c>
    </row>
    <row r="20" spans="1:29" x14ac:dyDescent="0.2">
      <c r="A20" s="298"/>
      <c r="B20" s="312"/>
      <c r="C20" s="299"/>
      <c r="D20" s="299"/>
      <c r="E20" s="299"/>
      <c r="F20" s="299"/>
      <c r="G20" s="299"/>
      <c r="H20" s="299"/>
      <c r="I20" s="299"/>
      <c r="J20" s="299"/>
      <c r="K20" s="299"/>
      <c r="L20" s="299"/>
      <c r="M20" s="299"/>
      <c r="N20" s="300"/>
      <c r="O20" s="459"/>
      <c r="P20" s="459"/>
      <c r="Q20" s="462"/>
      <c r="R20" s="462"/>
      <c r="S20" s="462"/>
      <c r="T20" s="462"/>
      <c r="U20" s="462"/>
      <c r="V20" s="462"/>
      <c r="W20" s="462"/>
      <c r="X20" s="462"/>
      <c r="Y20" s="462"/>
      <c r="Z20" s="462"/>
      <c r="AA20" s="462"/>
      <c r="AB20" s="462"/>
    </row>
    <row r="21" spans="1:29" x14ac:dyDescent="0.2">
      <c r="A21" s="298"/>
      <c r="B21" s="312"/>
      <c r="C21" s="299"/>
      <c r="D21" s="299"/>
      <c r="E21" s="299"/>
      <c r="F21" s="299"/>
      <c r="G21" s="299"/>
      <c r="H21" s="299"/>
      <c r="I21" s="299"/>
      <c r="J21" s="299"/>
      <c r="K21" s="299"/>
      <c r="L21" s="299"/>
      <c r="M21" s="299"/>
      <c r="N21" s="300"/>
      <c r="O21" s="459"/>
      <c r="P21" s="287"/>
      <c r="Q21" s="459"/>
      <c r="R21" s="459"/>
      <c r="S21" s="459"/>
      <c r="T21" s="459"/>
      <c r="U21" s="459"/>
      <c r="V21" s="459"/>
      <c r="W21" s="459"/>
      <c r="X21" s="459"/>
      <c r="Y21" s="459"/>
      <c r="Z21" s="459"/>
      <c r="AA21" s="459"/>
      <c r="AB21" s="459"/>
    </row>
    <row r="22" spans="1:29" x14ac:dyDescent="0.2">
      <c r="A22" s="298"/>
      <c r="B22" s="312"/>
      <c r="C22" s="299"/>
      <c r="D22" s="299"/>
      <c r="E22" s="299"/>
      <c r="F22" s="299"/>
      <c r="G22" s="299"/>
      <c r="H22" s="299"/>
      <c r="I22" s="299"/>
      <c r="J22" s="299"/>
      <c r="K22" s="299"/>
      <c r="L22" s="299"/>
      <c r="M22" s="299"/>
      <c r="N22" s="300"/>
      <c r="O22" s="459"/>
      <c r="P22" s="287" t="s">
        <v>574</v>
      </c>
      <c r="Q22" s="459">
        <f>Q7</f>
        <v>0</v>
      </c>
      <c r="R22" s="459">
        <f t="shared" ref="R22:AB22" si="17">R7</f>
        <v>0</v>
      </c>
      <c r="S22" s="459">
        <f t="shared" si="17"/>
        <v>0</v>
      </c>
      <c r="T22" s="459">
        <f t="shared" si="17"/>
        <v>0</v>
      </c>
      <c r="U22" s="459">
        <f t="shared" si="17"/>
        <v>0</v>
      </c>
      <c r="V22" s="459">
        <f t="shared" si="17"/>
        <v>0</v>
      </c>
      <c r="W22" s="459">
        <f t="shared" si="17"/>
        <v>0</v>
      </c>
      <c r="X22" s="459">
        <f t="shared" si="17"/>
        <v>0</v>
      </c>
      <c r="Y22" s="459">
        <f t="shared" si="17"/>
        <v>0</v>
      </c>
      <c r="Z22" s="459">
        <f t="shared" si="17"/>
        <v>0</v>
      </c>
      <c r="AA22" s="459">
        <f t="shared" si="17"/>
        <v>0</v>
      </c>
      <c r="AB22" s="459">
        <f t="shared" si="17"/>
        <v>0</v>
      </c>
    </row>
    <row r="23" spans="1:29" x14ac:dyDescent="0.2">
      <c r="A23" s="298"/>
      <c r="B23" s="312"/>
      <c r="C23" s="299"/>
      <c r="D23" s="299"/>
      <c r="E23" s="299"/>
      <c r="F23" s="299"/>
      <c r="G23" s="299"/>
      <c r="H23" s="299"/>
      <c r="I23" s="299"/>
      <c r="J23" s="299"/>
      <c r="K23" s="299"/>
      <c r="L23" s="299"/>
      <c r="M23" s="299"/>
      <c r="N23" s="300"/>
      <c r="O23" s="459"/>
      <c r="P23" s="287" t="s">
        <v>575</v>
      </c>
      <c r="Q23" s="459">
        <f>Q8+Q9+Q10</f>
        <v>0</v>
      </c>
      <c r="R23" s="459">
        <f t="shared" ref="R23:AB23" si="18">R8+R9+R10</f>
        <v>0</v>
      </c>
      <c r="S23" s="459">
        <f t="shared" si="18"/>
        <v>0</v>
      </c>
      <c r="T23" s="459">
        <f t="shared" si="18"/>
        <v>0</v>
      </c>
      <c r="U23" s="459">
        <f t="shared" si="18"/>
        <v>0</v>
      </c>
      <c r="V23" s="459">
        <f t="shared" si="18"/>
        <v>0</v>
      </c>
      <c r="W23" s="459">
        <f t="shared" si="18"/>
        <v>0</v>
      </c>
      <c r="X23" s="459">
        <f t="shared" si="18"/>
        <v>0</v>
      </c>
      <c r="Y23" s="459">
        <f t="shared" si="18"/>
        <v>0</v>
      </c>
      <c r="Z23" s="459">
        <f t="shared" si="18"/>
        <v>0</v>
      </c>
      <c r="AA23" s="459">
        <f t="shared" si="18"/>
        <v>0</v>
      </c>
      <c r="AB23" s="459">
        <f t="shared" si="18"/>
        <v>0</v>
      </c>
    </row>
    <row r="24" spans="1:29" x14ac:dyDescent="0.2">
      <c r="A24" s="298"/>
      <c r="B24" s="312"/>
      <c r="C24" s="299"/>
      <c r="D24" s="299"/>
      <c r="E24" s="299"/>
      <c r="F24" s="299"/>
      <c r="G24" s="299"/>
      <c r="H24" s="299"/>
      <c r="I24" s="299"/>
      <c r="J24" s="299"/>
      <c r="K24" s="299"/>
      <c r="L24" s="299"/>
      <c r="M24" s="299"/>
      <c r="N24" s="300"/>
      <c r="O24" s="459"/>
      <c r="P24" s="287" t="s">
        <v>576</v>
      </c>
      <c r="Q24" s="459">
        <f>Q11</f>
        <v>0</v>
      </c>
      <c r="R24" s="459">
        <f t="shared" ref="R24:AB24" si="19">R11</f>
        <v>0</v>
      </c>
      <c r="S24" s="459">
        <f t="shared" si="19"/>
        <v>0</v>
      </c>
      <c r="T24" s="459">
        <f t="shared" si="19"/>
        <v>0</v>
      </c>
      <c r="U24" s="459">
        <f t="shared" si="19"/>
        <v>0</v>
      </c>
      <c r="V24" s="459">
        <f t="shared" si="19"/>
        <v>0</v>
      </c>
      <c r="W24" s="459">
        <f t="shared" si="19"/>
        <v>0</v>
      </c>
      <c r="X24" s="459">
        <f t="shared" si="19"/>
        <v>0</v>
      </c>
      <c r="Y24" s="459">
        <f t="shared" si="19"/>
        <v>0</v>
      </c>
      <c r="Z24" s="459">
        <f t="shared" si="19"/>
        <v>0</v>
      </c>
      <c r="AA24" s="459">
        <f t="shared" si="19"/>
        <v>0</v>
      </c>
      <c r="AB24" s="459">
        <f t="shared" si="19"/>
        <v>0</v>
      </c>
    </row>
    <row r="25" spans="1:29" x14ac:dyDescent="0.2">
      <c r="A25" s="298"/>
      <c r="B25" s="312"/>
      <c r="C25" s="299"/>
      <c r="D25" s="299"/>
      <c r="E25" s="299"/>
      <c r="F25" s="299"/>
      <c r="G25" s="299"/>
      <c r="H25" s="299"/>
      <c r="I25" s="299"/>
      <c r="J25" s="299"/>
      <c r="K25" s="299"/>
      <c r="L25" s="299"/>
      <c r="M25" s="299"/>
      <c r="N25" s="300"/>
      <c r="O25" s="459"/>
      <c r="P25" s="287" t="s">
        <v>394</v>
      </c>
      <c r="Q25" s="459">
        <f>Q12</f>
        <v>0</v>
      </c>
      <c r="R25" s="459">
        <f t="shared" ref="R25:AB25" si="20">R12</f>
        <v>0</v>
      </c>
      <c r="S25" s="459">
        <f t="shared" si="20"/>
        <v>0</v>
      </c>
      <c r="T25" s="459">
        <f t="shared" si="20"/>
        <v>0</v>
      </c>
      <c r="U25" s="459">
        <f t="shared" si="20"/>
        <v>0</v>
      </c>
      <c r="V25" s="459">
        <f t="shared" si="20"/>
        <v>0</v>
      </c>
      <c r="W25" s="459">
        <f t="shared" si="20"/>
        <v>0</v>
      </c>
      <c r="X25" s="459">
        <f t="shared" si="20"/>
        <v>0</v>
      </c>
      <c r="Y25" s="459">
        <f t="shared" si="20"/>
        <v>0</v>
      </c>
      <c r="Z25" s="459">
        <f t="shared" si="20"/>
        <v>0</v>
      </c>
      <c r="AA25" s="459">
        <f t="shared" si="20"/>
        <v>0</v>
      </c>
      <c r="AB25" s="459">
        <f t="shared" si="20"/>
        <v>0</v>
      </c>
    </row>
    <row r="26" spans="1:29" x14ac:dyDescent="0.2">
      <c r="A26" s="298"/>
      <c r="B26" s="312"/>
      <c r="C26" s="299"/>
      <c r="D26" s="299"/>
      <c r="E26" s="299"/>
      <c r="F26" s="299"/>
      <c r="G26" s="299"/>
      <c r="H26" s="299"/>
      <c r="I26" s="299"/>
      <c r="J26" s="299"/>
      <c r="K26" s="299"/>
      <c r="L26" s="299"/>
      <c r="M26" s="299"/>
      <c r="N26" s="300"/>
      <c r="O26" s="459"/>
      <c r="P26" s="287"/>
      <c r="Q26" s="459"/>
      <c r="R26" s="459"/>
      <c r="S26" s="459"/>
      <c r="T26" s="459"/>
      <c r="U26" s="459"/>
      <c r="V26" s="459"/>
      <c r="W26" s="459"/>
      <c r="X26" s="459"/>
      <c r="Y26" s="459"/>
      <c r="Z26" s="459"/>
      <c r="AA26" s="459"/>
      <c r="AB26" s="459"/>
    </row>
    <row r="27" spans="1:29" x14ac:dyDescent="0.2">
      <c r="A27" s="298"/>
      <c r="B27" s="312"/>
      <c r="C27" s="299"/>
      <c r="D27" s="299"/>
      <c r="E27" s="299"/>
      <c r="F27" s="299"/>
      <c r="G27" s="299"/>
      <c r="H27" s="299"/>
      <c r="I27" s="299"/>
      <c r="J27" s="299"/>
      <c r="K27" s="299"/>
      <c r="L27" s="299"/>
      <c r="M27" s="299"/>
      <c r="N27" s="300"/>
      <c r="O27" s="459"/>
      <c r="P27" s="287"/>
      <c r="Q27" s="459"/>
      <c r="R27" s="459"/>
      <c r="S27" s="459"/>
      <c r="T27" s="459"/>
      <c r="U27" s="459"/>
      <c r="V27" s="459"/>
      <c r="W27" s="459"/>
      <c r="X27" s="459"/>
      <c r="Y27" s="459"/>
      <c r="Z27" s="459"/>
      <c r="AA27" s="459"/>
      <c r="AB27" s="459"/>
    </row>
    <row r="28" spans="1:29" x14ac:dyDescent="0.2">
      <c r="A28" s="298"/>
      <c r="B28" s="312"/>
      <c r="C28" s="299"/>
      <c r="D28" s="299"/>
      <c r="E28" s="299"/>
      <c r="F28" s="299"/>
      <c r="G28" s="299"/>
      <c r="H28" s="299"/>
      <c r="I28" s="299"/>
      <c r="J28" s="299"/>
      <c r="K28" s="299"/>
      <c r="L28" s="299"/>
      <c r="M28" s="299"/>
      <c r="N28" s="300"/>
      <c r="O28" s="459"/>
      <c r="P28" s="287"/>
      <c r="Q28" s="459"/>
      <c r="R28" s="459"/>
      <c r="S28" s="459"/>
      <c r="T28" s="459"/>
      <c r="U28" s="459"/>
      <c r="V28" s="459"/>
      <c r="W28" s="459"/>
      <c r="X28" s="459"/>
      <c r="Y28" s="459"/>
      <c r="Z28" s="459"/>
      <c r="AA28" s="459"/>
      <c r="AB28" s="459"/>
    </row>
    <row r="29" spans="1:29" x14ac:dyDescent="0.2">
      <c r="A29" s="298"/>
      <c r="B29" s="312"/>
      <c r="C29" s="299"/>
      <c r="D29" s="299"/>
      <c r="E29" s="299"/>
      <c r="F29" s="299"/>
      <c r="G29" s="299"/>
      <c r="H29" s="299"/>
      <c r="I29" s="299"/>
      <c r="J29" s="299"/>
      <c r="K29" s="299"/>
      <c r="L29" s="299"/>
      <c r="M29" s="299"/>
      <c r="N29" s="300"/>
      <c r="O29" s="459"/>
      <c r="P29" s="287"/>
      <c r="Q29" s="459"/>
      <c r="R29" s="459"/>
      <c r="S29" s="459"/>
      <c r="T29" s="459"/>
      <c r="U29" s="459"/>
      <c r="V29" s="459"/>
      <c r="W29" s="459"/>
      <c r="X29" s="459"/>
      <c r="Y29" s="459"/>
      <c r="Z29" s="459"/>
      <c r="AA29" s="459"/>
      <c r="AB29" s="459"/>
    </row>
    <row r="30" spans="1:29" x14ac:dyDescent="0.2">
      <c r="A30" s="298"/>
      <c r="B30" s="312"/>
      <c r="C30" s="299"/>
      <c r="D30" s="299"/>
      <c r="E30" s="299"/>
      <c r="F30" s="299"/>
      <c r="G30" s="299"/>
      <c r="H30" s="299"/>
      <c r="I30" s="299"/>
      <c r="J30" s="299"/>
      <c r="K30" s="299"/>
      <c r="L30" s="299"/>
      <c r="M30" s="299"/>
      <c r="N30" s="300"/>
      <c r="O30" s="459"/>
      <c r="P30" s="287"/>
      <c r="Q30" s="459"/>
      <c r="R30" s="459"/>
      <c r="S30" s="459"/>
      <c r="T30" s="459"/>
      <c r="U30" s="459"/>
      <c r="V30" s="459"/>
      <c r="W30" s="459"/>
      <c r="X30" s="459"/>
      <c r="Y30" s="459"/>
      <c r="Z30" s="459"/>
      <c r="AA30" s="459"/>
      <c r="AB30" s="459"/>
    </row>
    <row r="31" spans="1:29" x14ac:dyDescent="0.2">
      <c r="A31" s="298"/>
      <c r="B31" s="312"/>
      <c r="C31" s="299"/>
      <c r="D31" s="299"/>
      <c r="E31" s="299"/>
      <c r="F31" s="299"/>
      <c r="G31" s="299"/>
      <c r="H31" s="299"/>
      <c r="I31" s="299"/>
      <c r="J31" s="299"/>
      <c r="K31" s="299"/>
      <c r="L31" s="299"/>
      <c r="M31" s="299"/>
      <c r="N31" s="300"/>
      <c r="O31" s="459"/>
      <c r="P31" s="287"/>
      <c r="Q31" s="459"/>
      <c r="R31" s="459"/>
      <c r="S31" s="459"/>
      <c r="T31" s="459"/>
      <c r="U31" s="459"/>
      <c r="V31" s="459"/>
      <c r="W31" s="459"/>
      <c r="X31" s="459"/>
      <c r="Y31" s="459"/>
      <c r="Z31" s="459"/>
      <c r="AA31" s="459"/>
      <c r="AB31" s="459"/>
    </row>
    <row r="32" spans="1:29" x14ac:dyDescent="0.2">
      <c r="A32" s="298"/>
      <c r="B32" s="312"/>
      <c r="C32" s="299"/>
      <c r="D32" s="299"/>
      <c r="E32" s="299"/>
      <c r="F32" s="299"/>
      <c r="G32" s="299"/>
      <c r="H32" s="299"/>
      <c r="I32" s="299"/>
      <c r="J32" s="299"/>
      <c r="K32" s="299"/>
      <c r="L32" s="299"/>
      <c r="M32" s="299"/>
      <c r="N32" s="300"/>
      <c r="O32" s="459"/>
      <c r="P32" s="287"/>
      <c r="Q32" s="459"/>
      <c r="R32" s="459"/>
      <c r="S32" s="459"/>
      <c r="T32" s="459"/>
      <c r="U32" s="459"/>
      <c r="V32" s="459"/>
      <c r="W32" s="459"/>
      <c r="X32" s="459"/>
      <c r="Y32" s="459"/>
      <c r="Z32" s="459"/>
      <c r="AA32" s="459"/>
      <c r="AB32" s="459"/>
    </row>
    <row r="33" spans="1:28" x14ac:dyDescent="0.2">
      <c r="A33" s="298"/>
      <c r="B33" s="312"/>
      <c r="C33" s="299"/>
      <c r="D33" s="299"/>
      <c r="E33" s="299"/>
      <c r="F33" s="299"/>
      <c r="G33" s="299"/>
      <c r="H33" s="299"/>
      <c r="I33" s="299"/>
      <c r="J33" s="299"/>
      <c r="K33" s="299"/>
      <c r="L33" s="299"/>
      <c r="M33" s="299"/>
      <c r="N33" s="300"/>
      <c r="O33" s="459"/>
      <c r="P33" s="287"/>
      <c r="Q33" s="459"/>
      <c r="R33" s="459"/>
      <c r="S33" s="459"/>
      <c r="T33" s="459"/>
      <c r="U33" s="459"/>
      <c r="V33" s="459"/>
      <c r="W33" s="459"/>
      <c r="X33" s="459"/>
      <c r="Y33" s="459"/>
      <c r="Z33" s="459"/>
      <c r="AA33" s="459"/>
      <c r="AB33" s="459"/>
    </row>
    <row r="34" spans="1:28" x14ac:dyDescent="0.2">
      <c r="A34" s="298"/>
      <c r="B34" s="312"/>
      <c r="C34" s="299"/>
      <c r="D34" s="299"/>
      <c r="E34" s="299"/>
      <c r="F34" s="299"/>
      <c r="G34" s="299"/>
      <c r="H34" s="299"/>
      <c r="I34" s="299"/>
      <c r="J34" s="299"/>
      <c r="K34" s="299"/>
      <c r="L34" s="299"/>
      <c r="M34" s="299"/>
      <c r="N34" s="300"/>
      <c r="O34" s="459"/>
      <c r="P34" s="287"/>
      <c r="Q34" s="459"/>
      <c r="R34" s="459"/>
      <c r="S34" s="459"/>
      <c r="T34" s="459"/>
      <c r="U34" s="459"/>
      <c r="V34" s="459"/>
      <c r="W34" s="459"/>
      <c r="X34" s="459"/>
      <c r="Y34" s="459"/>
      <c r="Z34" s="459"/>
      <c r="AA34" s="459"/>
      <c r="AB34" s="459"/>
    </row>
    <row r="35" spans="1:28" x14ac:dyDescent="0.2">
      <c r="A35" s="298"/>
      <c r="B35" s="312"/>
      <c r="C35" s="299"/>
      <c r="D35" s="299"/>
      <c r="E35" s="299"/>
      <c r="F35" s="299"/>
      <c r="G35" s="299"/>
      <c r="H35" s="299"/>
      <c r="I35" s="299"/>
      <c r="J35" s="299"/>
      <c r="K35" s="299"/>
      <c r="L35" s="299"/>
      <c r="M35" s="299"/>
      <c r="N35" s="300"/>
      <c r="O35" s="459"/>
      <c r="P35" s="287"/>
      <c r="Q35" s="459"/>
      <c r="R35" s="459"/>
      <c r="S35" s="459"/>
      <c r="T35" s="459"/>
      <c r="U35" s="459"/>
      <c r="V35" s="459"/>
      <c r="W35" s="459"/>
      <c r="X35" s="459"/>
      <c r="Y35" s="459"/>
      <c r="Z35" s="459"/>
      <c r="AA35" s="459"/>
      <c r="AB35" s="459"/>
    </row>
    <row r="36" spans="1:28" x14ac:dyDescent="0.2">
      <c r="A36" s="298"/>
      <c r="B36" s="312"/>
      <c r="C36" s="299"/>
      <c r="D36" s="299"/>
      <c r="E36" s="299"/>
      <c r="F36" s="299"/>
      <c r="G36" s="299"/>
      <c r="H36" s="299"/>
      <c r="I36" s="299"/>
      <c r="J36" s="299"/>
      <c r="K36" s="299"/>
      <c r="L36" s="299"/>
      <c r="M36" s="299"/>
      <c r="N36" s="300"/>
      <c r="O36" s="459"/>
      <c r="P36" s="287"/>
      <c r="Q36" s="459"/>
      <c r="R36" s="459"/>
      <c r="S36" s="459"/>
      <c r="T36" s="459"/>
      <c r="U36" s="459"/>
      <c r="V36" s="459"/>
      <c r="W36" s="459"/>
      <c r="X36" s="459"/>
      <c r="Y36" s="459"/>
      <c r="Z36" s="459"/>
      <c r="AA36" s="459"/>
      <c r="AB36" s="459"/>
    </row>
    <row r="37" spans="1:28" x14ac:dyDescent="0.2">
      <c r="A37" s="298"/>
      <c r="B37" s="312"/>
      <c r="C37" s="299"/>
      <c r="D37" s="299"/>
      <c r="E37" s="299"/>
      <c r="F37" s="299"/>
      <c r="G37" s="299"/>
      <c r="H37" s="299"/>
      <c r="I37" s="299"/>
      <c r="J37" s="299"/>
      <c r="K37" s="299"/>
      <c r="L37" s="299"/>
      <c r="M37" s="299"/>
      <c r="N37" s="300"/>
      <c r="O37" s="459"/>
      <c r="P37" s="287"/>
      <c r="Q37" s="459"/>
      <c r="R37" s="459"/>
      <c r="S37" s="459"/>
      <c r="T37" s="459"/>
      <c r="U37" s="459"/>
      <c r="V37" s="459"/>
      <c r="W37" s="459"/>
      <c r="X37" s="459"/>
      <c r="Y37" s="459"/>
      <c r="Z37" s="459"/>
      <c r="AA37" s="459"/>
      <c r="AB37" s="459"/>
    </row>
    <row r="38" spans="1:28" x14ac:dyDescent="0.2">
      <c r="A38" s="298"/>
      <c r="B38" s="312"/>
      <c r="C38" s="299"/>
      <c r="D38" s="299"/>
      <c r="E38" s="299"/>
      <c r="F38" s="299"/>
      <c r="G38" s="299"/>
      <c r="H38" s="299"/>
      <c r="I38" s="299"/>
      <c r="J38" s="299"/>
      <c r="K38" s="299"/>
      <c r="L38" s="299"/>
      <c r="M38" s="299"/>
      <c r="N38" s="300"/>
      <c r="O38" s="459"/>
      <c r="P38" s="287"/>
      <c r="Q38" s="459"/>
      <c r="R38" s="459"/>
      <c r="S38" s="459"/>
      <c r="T38" s="459"/>
      <c r="U38" s="459"/>
      <c r="V38" s="459"/>
      <c r="W38" s="459"/>
      <c r="X38" s="459"/>
      <c r="Y38" s="459"/>
      <c r="Z38" s="459"/>
      <c r="AA38" s="459"/>
      <c r="AB38" s="459"/>
    </row>
    <row r="39" spans="1:28" x14ac:dyDescent="0.2">
      <c r="A39" s="298"/>
      <c r="B39" s="312"/>
      <c r="C39" s="299"/>
      <c r="D39" s="299"/>
      <c r="E39" s="299"/>
      <c r="F39" s="299"/>
      <c r="G39" s="299"/>
      <c r="H39" s="299"/>
      <c r="I39" s="299"/>
      <c r="J39" s="299"/>
      <c r="K39" s="299"/>
      <c r="L39" s="299"/>
      <c r="M39" s="299"/>
      <c r="N39" s="300"/>
      <c r="O39" s="459"/>
      <c r="P39" s="287"/>
      <c r="Q39" s="459"/>
      <c r="R39" s="459"/>
      <c r="S39" s="459"/>
      <c r="T39" s="459"/>
      <c r="U39" s="459"/>
      <c r="V39" s="459"/>
      <c r="W39" s="459"/>
      <c r="X39" s="459"/>
      <c r="Y39" s="459"/>
      <c r="Z39" s="459"/>
      <c r="AA39" s="459"/>
      <c r="AB39" s="459"/>
    </row>
    <row r="40" spans="1:28" x14ac:dyDescent="0.2">
      <c r="A40" s="298"/>
      <c r="B40" s="312"/>
      <c r="C40" s="299"/>
      <c r="D40" s="299"/>
      <c r="E40" s="299"/>
      <c r="F40" s="299"/>
      <c r="G40" s="299"/>
      <c r="H40" s="299"/>
      <c r="I40" s="299"/>
      <c r="J40" s="299"/>
      <c r="K40" s="299"/>
      <c r="L40" s="299"/>
      <c r="M40" s="299"/>
      <c r="N40" s="300"/>
      <c r="O40" s="459"/>
      <c r="P40" s="287"/>
      <c r="Q40" s="459"/>
      <c r="R40" s="459"/>
      <c r="S40" s="459"/>
      <c r="T40" s="459"/>
      <c r="U40" s="459"/>
      <c r="V40" s="459"/>
      <c r="W40" s="459"/>
      <c r="X40" s="459"/>
      <c r="Y40" s="459"/>
      <c r="Z40" s="459"/>
      <c r="AA40" s="459"/>
      <c r="AB40" s="459"/>
    </row>
    <row r="41" spans="1:28" x14ac:dyDescent="0.2">
      <c r="A41" s="298"/>
      <c r="B41" s="312"/>
      <c r="C41" s="299"/>
      <c r="D41" s="299"/>
      <c r="E41" s="299"/>
      <c r="F41" s="299"/>
      <c r="G41" s="299"/>
      <c r="H41" s="299"/>
      <c r="I41" s="299"/>
      <c r="J41" s="299"/>
      <c r="K41" s="299"/>
      <c r="L41" s="299"/>
      <c r="M41" s="299"/>
      <c r="N41" s="300"/>
      <c r="O41" s="459"/>
      <c r="P41" s="287"/>
      <c r="Q41" s="459"/>
      <c r="R41" s="459"/>
      <c r="S41" s="459"/>
      <c r="T41" s="459"/>
      <c r="U41" s="459"/>
      <c r="V41" s="459"/>
      <c r="W41" s="459"/>
      <c r="X41" s="459"/>
      <c r="Y41" s="459"/>
      <c r="Z41" s="459"/>
      <c r="AA41" s="459"/>
      <c r="AB41" s="459"/>
    </row>
    <row r="42" spans="1:28" x14ac:dyDescent="0.2">
      <c r="A42" s="298"/>
      <c r="B42" s="312"/>
      <c r="C42" s="299"/>
      <c r="D42" s="299"/>
      <c r="E42" s="299"/>
      <c r="F42" s="299"/>
      <c r="G42" s="299"/>
      <c r="H42" s="299"/>
      <c r="I42" s="299"/>
      <c r="J42" s="299"/>
      <c r="K42" s="299"/>
      <c r="L42" s="299"/>
      <c r="M42" s="299"/>
      <c r="N42" s="300"/>
      <c r="O42" s="459"/>
      <c r="P42" s="287"/>
      <c r="Q42" s="459"/>
      <c r="R42" s="459"/>
      <c r="S42" s="459"/>
      <c r="T42" s="459"/>
      <c r="U42" s="459"/>
      <c r="V42" s="459"/>
      <c r="W42" s="459"/>
      <c r="X42" s="459"/>
      <c r="Y42" s="459"/>
      <c r="Z42" s="459"/>
      <c r="AA42" s="459"/>
      <c r="AB42" s="459"/>
    </row>
    <row r="43" spans="1:28" x14ac:dyDescent="0.2">
      <c r="A43" s="298"/>
      <c r="B43" s="312"/>
      <c r="C43" s="299"/>
      <c r="D43" s="299"/>
      <c r="E43" s="299"/>
      <c r="F43" s="299"/>
      <c r="G43" s="299"/>
      <c r="H43" s="299"/>
      <c r="I43" s="299"/>
      <c r="J43" s="299"/>
      <c r="K43" s="299"/>
      <c r="L43" s="299"/>
      <c r="M43" s="299"/>
      <c r="N43" s="300"/>
      <c r="O43" s="459"/>
      <c r="P43" s="287"/>
      <c r="Q43" s="459"/>
      <c r="R43" s="459"/>
      <c r="S43" s="459"/>
      <c r="T43" s="459"/>
      <c r="U43" s="459"/>
      <c r="V43" s="459"/>
      <c r="W43" s="459"/>
      <c r="X43" s="459"/>
      <c r="Y43" s="459"/>
      <c r="Z43" s="459"/>
      <c r="AA43" s="459"/>
      <c r="AB43" s="459"/>
    </row>
    <row r="44" spans="1:28" x14ac:dyDescent="0.2">
      <c r="A44" s="298"/>
      <c r="B44" s="312"/>
      <c r="C44" s="299"/>
      <c r="D44" s="299"/>
      <c r="E44" s="299"/>
      <c r="F44" s="299"/>
      <c r="G44" s="299"/>
      <c r="H44" s="299"/>
      <c r="I44" s="299"/>
      <c r="J44" s="299"/>
      <c r="K44" s="299"/>
      <c r="L44" s="299"/>
      <c r="M44" s="299"/>
      <c r="N44" s="300"/>
      <c r="O44" s="459"/>
      <c r="P44" s="287"/>
      <c r="Q44" s="459"/>
      <c r="R44" s="459"/>
      <c r="S44" s="459"/>
      <c r="T44" s="459"/>
      <c r="U44" s="459"/>
      <c r="V44" s="459"/>
      <c r="W44" s="459"/>
      <c r="X44" s="459"/>
      <c r="Y44" s="459"/>
      <c r="Z44" s="459"/>
      <c r="AA44" s="459"/>
      <c r="AB44" s="459"/>
    </row>
    <row r="45" spans="1:28" x14ac:dyDescent="0.2">
      <c r="A45" s="298"/>
      <c r="B45" s="312"/>
      <c r="C45" s="299"/>
      <c r="D45" s="299"/>
      <c r="E45" s="299"/>
      <c r="F45" s="299"/>
      <c r="G45" s="299"/>
      <c r="H45" s="299"/>
      <c r="I45" s="299"/>
      <c r="J45" s="299"/>
      <c r="K45" s="299"/>
      <c r="L45" s="299"/>
      <c r="M45" s="299"/>
      <c r="N45" s="300"/>
      <c r="O45" s="459"/>
      <c r="P45" s="287"/>
      <c r="Q45" s="459"/>
      <c r="R45" s="459"/>
      <c r="S45" s="459"/>
      <c r="T45" s="459"/>
      <c r="U45" s="459"/>
      <c r="V45" s="459"/>
      <c r="W45" s="459"/>
      <c r="X45" s="459"/>
      <c r="Y45" s="459"/>
      <c r="Z45" s="459"/>
      <c r="AA45" s="459"/>
      <c r="AB45" s="459"/>
    </row>
    <row r="46" spans="1:28" x14ac:dyDescent="0.2">
      <c r="A46" s="298"/>
      <c r="B46" s="312"/>
      <c r="C46" s="299"/>
      <c r="D46" s="299"/>
      <c r="E46" s="299"/>
      <c r="F46" s="299"/>
      <c r="G46" s="299"/>
      <c r="H46" s="299"/>
      <c r="I46" s="299"/>
      <c r="J46" s="299"/>
      <c r="K46" s="299"/>
      <c r="L46" s="299"/>
      <c r="M46" s="299"/>
      <c r="N46" s="300"/>
      <c r="O46" s="459"/>
      <c r="P46" s="287"/>
      <c r="Q46" s="459"/>
      <c r="R46" s="459"/>
      <c r="S46" s="459"/>
      <c r="T46" s="459"/>
      <c r="U46" s="459"/>
      <c r="V46" s="459"/>
      <c r="W46" s="459"/>
      <c r="X46" s="459"/>
      <c r="Y46" s="459"/>
      <c r="Z46" s="459"/>
      <c r="AA46" s="459"/>
      <c r="AB46" s="459"/>
    </row>
    <row r="47" spans="1:28" x14ac:dyDescent="0.2">
      <c r="A47" s="298"/>
      <c r="B47" s="312"/>
      <c r="C47" s="299"/>
      <c r="D47" s="299"/>
      <c r="E47" s="299"/>
      <c r="F47" s="299"/>
      <c r="G47" s="299"/>
      <c r="H47" s="299"/>
      <c r="I47" s="299"/>
      <c r="J47" s="299"/>
      <c r="K47" s="299"/>
      <c r="L47" s="299"/>
      <c r="M47" s="299"/>
      <c r="N47" s="300"/>
      <c r="O47" s="459"/>
      <c r="P47" s="287"/>
      <c r="Q47" s="459"/>
      <c r="R47" s="459"/>
      <c r="S47" s="459"/>
      <c r="T47" s="459"/>
      <c r="U47" s="459"/>
      <c r="V47" s="459"/>
      <c r="W47" s="459"/>
      <c r="X47" s="459"/>
      <c r="Y47" s="459"/>
      <c r="Z47" s="459"/>
      <c r="AA47" s="459"/>
      <c r="AB47" s="459"/>
    </row>
    <row r="48" spans="1:28" x14ac:dyDescent="0.2">
      <c r="A48" s="298"/>
      <c r="B48" s="312"/>
      <c r="C48" s="299"/>
      <c r="D48" s="299"/>
      <c r="E48" s="299"/>
      <c r="F48" s="299"/>
      <c r="G48" s="299"/>
      <c r="H48" s="299"/>
      <c r="I48" s="299"/>
      <c r="J48" s="299"/>
      <c r="K48" s="299"/>
      <c r="L48" s="299"/>
      <c r="M48" s="299"/>
      <c r="N48" s="300"/>
      <c r="O48" s="459"/>
      <c r="P48" s="287"/>
      <c r="Q48" s="459"/>
      <c r="R48" s="459"/>
      <c r="S48" s="459"/>
      <c r="T48" s="459"/>
      <c r="U48" s="459"/>
      <c r="V48" s="459"/>
      <c r="W48" s="459"/>
      <c r="X48" s="459"/>
      <c r="Y48" s="459"/>
      <c r="Z48" s="459"/>
      <c r="AA48" s="459"/>
      <c r="AB48" s="459"/>
    </row>
    <row r="49" spans="1:28" x14ac:dyDescent="0.2">
      <c r="A49" s="298"/>
      <c r="B49" s="312"/>
      <c r="C49" s="299"/>
      <c r="D49" s="299"/>
      <c r="E49" s="299"/>
      <c r="F49" s="299"/>
      <c r="G49" s="299"/>
      <c r="H49" s="299"/>
      <c r="I49" s="299"/>
      <c r="J49" s="299"/>
      <c r="K49" s="299"/>
      <c r="L49" s="299"/>
      <c r="M49" s="299"/>
      <c r="N49" s="300"/>
      <c r="O49" s="459"/>
      <c r="P49" s="287"/>
      <c r="Q49" s="459"/>
      <c r="R49" s="459"/>
      <c r="S49" s="459"/>
      <c r="T49" s="459"/>
      <c r="U49" s="459"/>
      <c r="V49" s="459"/>
      <c r="W49" s="459"/>
      <c r="X49" s="459"/>
      <c r="Y49" s="459"/>
      <c r="Z49" s="459"/>
      <c r="AA49" s="459"/>
      <c r="AB49" s="459"/>
    </row>
    <row r="50" spans="1:28" x14ac:dyDescent="0.2">
      <c r="A50" s="298"/>
      <c r="B50" s="312"/>
      <c r="C50" s="299"/>
      <c r="D50" s="299"/>
      <c r="E50" s="299"/>
      <c r="F50" s="299"/>
      <c r="G50" s="299"/>
      <c r="H50" s="299"/>
      <c r="I50" s="299"/>
      <c r="J50" s="299"/>
      <c r="K50" s="299"/>
      <c r="L50" s="299"/>
      <c r="M50" s="299"/>
      <c r="N50" s="300"/>
      <c r="O50" s="459"/>
      <c r="P50" s="287"/>
      <c r="Q50" s="459"/>
      <c r="R50" s="459"/>
      <c r="S50" s="459"/>
      <c r="T50" s="459"/>
      <c r="U50" s="459"/>
      <c r="V50" s="459"/>
      <c r="W50" s="459"/>
      <c r="X50" s="459"/>
      <c r="Y50" s="459"/>
      <c r="Z50" s="459"/>
      <c r="AA50" s="459"/>
      <c r="AB50" s="459"/>
    </row>
    <row r="51" spans="1:28" x14ac:dyDescent="0.2">
      <c r="A51" s="298"/>
      <c r="B51" s="312"/>
      <c r="C51" s="299"/>
      <c r="D51" s="299"/>
      <c r="E51" s="299"/>
      <c r="F51" s="299"/>
      <c r="G51" s="299"/>
      <c r="H51" s="299"/>
      <c r="I51" s="299"/>
      <c r="J51" s="299"/>
      <c r="K51" s="299"/>
      <c r="L51" s="299"/>
      <c r="M51" s="299"/>
      <c r="N51" s="300"/>
      <c r="O51" s="459"/>
      <c r="P51" s="287"/>
      <c r="Q51" s="459"/>
      <c r="R51" s="459"/>
      <c r="S51" s="459"/>
      <c r="T51" s="459"/>
      <c r="U51" s="459"/>
      <c r="V51" s="459"/>
      <c r="W51" s="459"/>
      <c r="X51" s="459"/>
      <c r="Y51" s="459"/>
      <c r="Z51" s="459"/>
      <c r="AA51" s="459"/>
      <c r="AB51" s="459"/>
    </row>
    <row r="52" spans="1:28" x14ac:dyDescent="0.2">
      <c r="A52" s="298"/>
      <c r="B52" s="312"/>
      <c r="C52" s="299"/>
      <c r="D52" s="299"/>
      <c r="E52" s="299"/>
      <c r="F52" s="299"/>
      <c r="G52" s="299"/>
      <c r="H52" s="299"/>
      <c r="I52" s="299"/>
      <c r="J52" s="299"/>
      <c r="K52" s="299"/>
      <c r="L52" s="299"/>
      <c r="M52" s="299"/>
      <c r="N52" s="300"/>
      <c r="O52" s="459"/>
      <c r="P52" s="287"/>
      <c r="Q52" s="459"/>
      <c r="R52" s="459"/>
      <c r="S52" s="459"/>
      <c r="T52" s="459"/>
      <c r="U52" s="459"/>
      <c r="V52" s="459"/>
      <c r="W52" s="459"/>
      <c r="X52" s="459"/>
      <c r="Y52" s="459"/>
      <c r="Z52" s="459"/>
      <c r="AA52" s="459"/>
      <c r="AB52" s="459"/>
    </row>
    <row r="53" spans="1:28" x14ac:dyDescent="0.2">
      <c r="A53" s="298"/>
      <c r="B53" s="312"/>
      <c r="C53" s="299"/>
      <c r="D53" s="299"/>
      <c r="E53" s="299"/>
      <c r="F53" s="299"/>
      <c r="G53" s="299"/>
      <c r="H53" s="299"/>
      <c r="I53" s="299"/>
      <c r="J53" s="299"/>
      <c r="K53" s="299"/>
      <c r="L53" s="299"/>
      <c r="M53" s="299"/>
      <c r="N53" s="300"/>
      <c r="O53" s="459"/>
      <c r="P53" s="287"/>
      <c r="Q53" s="459"/>
      <c r="R53" s="459"/>
      <c r="S53" s="459"/>
      <c r="T53" s="459"/>
      <c r="U53" s="459"/>
      <c r="V53" s="459"/>
      <c r="W53" s="459"/>
      <c r="X53" s="459"/>
      <c r="Y53" s="459"/>
      <c r="Z53" s="459"/>
      <c r="AA53" s="459"/>
      <c r="AB53" s="459"/>
    </row>
    <row r="54" spans="1:28" x14ac:dyDescent="0.2">
      <c r="A54" s="298"/>
      <c r="B54" s="312"/>
      <c r="C54" s="299"/>
      <c r="D54" s="299"/>
      <c r="E54" s="299"/>
      <c r="F54" s="299"/>
      <c r="G54" s="299"/>
      <c r="H54" s="299"/>
      <c r="I54" s="299"/>
      <c r="J54" s="299"/>
      <c r="K54" s="299"/>
      <c r="L54" s="299"/>
      <c r="M54" s="299"/>
      <c r="N54" s="300"/>
      <c r="O54" s="459"/>
      <c r="P54" s="287"/>
      <c r="Q54" s="459"/>
      <c r="R54" s="459"/>
      <c r="S54" s="459"/>
      <c r="T54" s="459"/>
      <c r="U54" s="459"/>
      <c r="V54" s="459"/>
      <c r="W54" s="459"/>
      <c r="X54" s="459"/>
      <c r="Y54" s="459"/>
      <c r="Z54" s="459"/>
      <c r="AA54" s="459"/>
      <c r="AB54" s="459"/>
    </row>
    <row r="55" spans="1:28" x14ac:dyDescent="0.2">
      <c r="A55" s="298"/>
      <c r="B55" s="312"/>
      <c r="C55" s="299"/>
      <c r="D55" s="299"/>
      <c r="E55" s="299"/>
      <c r="F55" s="299"/>
      <c r="G55" s="299"/>
      <c r="H55" s="299"/>
      <c r="I55" s="299"/>
      <c r="J55" s="299"/>
      <c r="K55" s="299"/>
      <c r="L55" s="299"/>
      <c r="M55" s="299"/>
      <c r="N55" s="300"/>
      <c r="O55" s="459"/>
      <c r="P55" s="287"/>
      <c r="Q55" s="459"/>
      <c r="R55" s="459"/>
      <c r="S55" s="459"/>
      <c r="T55" s="459"/>
      <c r="U55" s="459"/>
      <c r="V55" s="459"/>
      <c r="W55" s="459"/>
      <c r="X55" s="459"/>
      <c r="Y55" s="459"/>
      <c r="Z55" s="459"/>
      <c r="AA55" s="459"/>
      <c r="AB55" s="459"/>
    </row>
    <row r="56" spans="1:28" x14ac:dyDescent="0.2">
      <c r="A56" s="298"/>
      <c r="B56" s="312"/>
      <c r="C56" s="299"/>
      <c r="D56" s="299"/>
      <c r="E56" s="299"/>
      <c r="F56" s="299"/>
      <c r="G56" s="299"/>
      <c r="H56" s="299"/>
      <c r="I56" s="299"/>
      <c r="J56" s="299"/>
      <c r="K56" s="299"/>
      <c r="L56" s="299"/>
      <c r="M56" s="299"/>
      <c r="N56" s="300"/>
      <c r="O56" s="459"/>
      <c r="P56" s="287"/>
      <c r="Q56" s="459"/>
      <c r="R56" s="459"/>
      <c r="S56" s="459"/>
      <c r="T56" s="459"/>
      <c r="U56" s="459"/>
      <c r="V56" s="459"/>
      <c r="W56" s="459"/>
      <c r="X56" s="459"/>
      <c r="Y56" s="459"/>
      <c r="Z56" s="459"/>
      <c r="AA56" s="459"/>
      <c r="AB56" s="459"/>
    </row>
    <row r="57" spans="1:28" x14ac:dyDescent="0.2">
      <c r="A57" s="298"/>
      <c r="B57" s="312"/>
      <c r="C57" s="299"/>
      <c r="D57" s="299"/>
      <c r="E57" s="299"/>
      <c r="F57" s="299"/>
      <c r="G57" s="299"/>
      <c r="H57" s="299"/>
      <c r="I57" s="299"/>
      <c r="J57" s="299"/>
      <c r="K57" s="299"/>
      <c r="L57" s="299"/>
      <c r="M57" s="299"/>
      <c r="N57" s="300"/>
      <c r="O57" s="459"/>
      <c r="P57" s="287"/>
      <c r="Q57" s="459"/>
      <c r="R57" s="459"/>
      <c r="S57" s="459"/>
      <c r="T57" s="459"/>
      <c r="U57" s="459"/>
      <c r="V57" s="459"/>
      <c r="W57" s="459"/>
      <c r="X57" s="459"/>
      <c r="Y57" s="459"/>
      <c r="Z57" s="459"/>
      <c r="AA57" s="459"/>
      <c r="AB57" s="459"/>
    </row>
    <row r="58" spans="1:28" x14ac:dyDescent="0.2">
      <c r="A58" s="298"/>
      <c r="B58" s="312"/>
      <c r="C58" s="299"/>
      <c r="D58" s="299"/>
      <c r="E58" s="299"/>
      <c r="F58" s="299"/>
      <c r="G58" s="299"/>
      <c r="H58" s="299"/>
      <c r="I58" s="299"/>
      <c r="J58" s="299"/>
      <c r="K58" s="299"/>
      <c r="L58" s="299"/>
      <c r="M58" s="299"/>
      <c r="N58" s="300"/>
      <c r="O58" s="459"/>
      <c r="P58" s="287"/>
      <c r="Q58" s="459"/>
      <c r="R58" s="459"/>
      <c r="S58" s="459"/>
      <c r="T58" s="459"/>
      <c r="U58" s="459"/>
      <c r="V58" s="459"/>
      <c r="W58" s="459"/>
      <c r="X58" s="459"/>
      <c r="Y58" s="459"/>
      <c r="Z58" s="459"/>
      <c r="AA58" s="459"/>
      <c r="AB58" s="459"/>
    </row>
    <row r="59" spans="1:28" x14ac:dyDescent="0.2">
      <c r="A59" s="298"/>
      <c r="B59" s="312"/>
      <c r="C59" s="299"/>
      <c r="D59" s="299"/>
      <c r="E59" s="299"/>
      <c r="F59" s="299"/>
      <c r="G59" s="299"/>
      <c r="H59" s="299"/>
      <c r="I59" s="299"/>
      <c r="J59" s="299"/>
      <c r="K59" s="299"/>
      <c r="L59" s="299"/>
      <c r="M59" s="299"/>
      <c r="N59" s="300"/>
      <c r="O59" s="459"/>
      <c r="P59" s="287"/>
      <c r="Q59" s="459"/>
      <c r="R59" s="459"/>
      <c r="S59" s="459"/>
      <c r="T59" s="459"/>
      <c r="U59" s="459"/>
      <c r="V59" s="459"/>
      <c r="W59" s="459"/>
      <c r="X59" s="459"/>
      <c r="Y59" s="459"/>
      <c r="Z59" s="459"/>
      <c r="AA59" s="459"/>
      <c r="AB59" s="459"/>
    </row>
    <row r="60" spans="1:28" x14ac:dyDescent="0.2">
      <c r="A60" s="298"/>
      <c r="B60" s="312"/>
      <c r="C60" s="299"/>
      <c r="D60" s="299"/>
      <c r="E60" s="299"/>
      <c r="F60" s="299"/>
      <c r="G60" s="299"/>
      <c r="H60" s="299"/>
      <c r="I60" s="299"/>
      <c r="J60" s="299"/>
      <c r="K60" s="299"/>
      <c r="L60" s="299"/>
      <c r="M60" s="299"/>
      <c r="N60" s="300"/>
      <c r="O60" s="459"/>
      <c r="P60" s="287"/>
      <c r="Q60" s="459"/>
      <c r="R60" s="459"/>
      <c r="S60" s="459"/>
      <c r="T60" s="459"/>
      <c r="U60" s="459"/>
      <c r="V60" s="459"/>
      <c r="W60" s="459"/>
      <c r="X60" s="459"/>
      <c r="Y60" s="459"/>
      <c r="Z60" s="459"/>
      <c r="AA60" s="459"/>
      <c r="AB60" s="459"/>
    </row>
    <row r="61" spans="1:28" x14ac:dyDescent="0.2">
      <c r="A61" s="298"/>
      <c r="B61" s="312"/>
      <c r="C61" s="299"/>
      <c r="D61" s="299"/>
      <c r="E61" s="299"/>
      <c r="F61" s="299"/>
      <c r="G61" s="299"/>
      <c r="H61" s="299"/>
      <c r="I61" s="299"/>
      <c r="J61" s="299"/>
      <c r="K61" s="299"/>
      <c r="L61" s="299"/>
      <c r="M61" s="299"/>
      <c r="N61" s="300"/>
      <c r="O61" s="459"/>
      <c r="P61" s="287"/>
      <c r="Q61" s="459"/>
      <c r="R61" s="459"/>
      <c r="S61" s="459"/>
      <c r="T61" s="459"/>
      <c r="U61" s="459"/>
      <c r="V61" s="459"/>
      <c r="W61" s="459"/>
      <c r="X61" s="459"/>
      <c r="Y61" s="459"/>
      <c r="Z61" s="459"/>
      <c r="AA61" s="459"/>
      <c r="AB61" s="459"/>
    </row>
    <row r="62" spans="1:28" x14ac:dyDescent="0.2">
      <c r="A62" s="298"/>
      <c r="B62" s="312"/>
      <c r="C62" s="299"/>
      <c r="D62" s="299"/>
      <c r="E62" s="299"/>
      <c r="F62" s="299"/>
      <c r="G62" s="299"/>
      <c r="H62" s="299"/>
      <c r="I62" s="299"/>
      <c r="J62" s="299"/>
      <c r="K62" s="299"/>
      <c r="L62" s="299"/>
      <c r="M62" s="299"/>
      <c r="N62" s="300"/>
      <c r="O62" s="459"/>
      <c r="P62" s="287"/>
      <c r="Q62" s="459"/>
      <c r="R62" s="459"/>
      <c r="S62" s="459"/>
      <c r="T62" s="459"/>
      <c r="U62" s="459"/>
      <c r="V62" s="459"/>
      <c r="W62" s="459"/>
      <c r="X62" s="459"/>
      <c r="Y62" s="459"/>
      <c r="Z62" s="459"/>
      <c r="AA62" s="459"/>
      <c r="AB62" s="459"/>
    </row>
    <row r="63" spans="1:28" x14ac:dyDescent="0.2">
      <c r="A63" s="298"/>
      <c r="B63" s="312"/>
      <c r="C63" s="299"/>
      <c r="D63" s="299"/>
      <c r="E63" s="299"/>
      <c r="F63" s="299"/>
      <c r="G63" s="299"/>
      <c r="H63" s="299"/>
      <c r="I63" s="299"/>
      <c r="J63" s="299"/>
      <c r="K63" s="299"/>
      <c r="L63" s="299"/>
      <c r="M63" s="299"/>
      <c r="N63" s="300"/>
      <c r="O63" s="459"/>
      <c r="P63" s="287"/>
      <c r="Q63" s="459"/>
      <c r="R63" s="459"/>
      <c r="S63" s="459"/>
      <c r="T63" s="459"/>
      <c r="U63" s="459"/>
      <c r="V63" s="459"/>
      <c r="W63" s="459"/>
      <c r="X63" s="459"/>
      <c r="Y63" s="459"/>
      <c r="Z63" s="459"/>
      <c r="AA63" s="459"/>
      <c r="AB63" s="459"/>
    </row>
    <row r="64" spans="1:28" x14ac:dyDescent="0.2">
      <c r="A64" s="298"/>
      <c r="B64" s="312"/>
      <c r="C64" s="299"/>
      <c r="D64" s="299"/>
      <c r="E64" s="299"/>
      <c r="F64" s="299"/>
      <c r="G64" s="299"/>
      <c r="H64" s="299"/>
      <c r="I64" s="299"/>
      <c r="J64" s="299"/>
      <c r="K64" s="299"/>
      <c r="L64" s="299"/>
      <c r="M64" s="299"/>
      <c r="N64" s="300"/>
      <c r="O64" s="459"/>
      <c r="P64" s="287"/>
      <c r="Q64" s="459"/>
      <c r="R64" s="459"/>
      <c r="S64" s="459"/>
      <c r="T64" s="459"/>
      <c r="U64" s="459"/>
      <c r="V64" s="459"/>
      <c r="W64" s="459"/>
      <c r="X64" s="459"/>
      <c r="Y64" s="459"/>
      <c r="Z64" s="459"/>
      <c r="AA64" s="459"/>
      <c r="AB64" s="459"/>
    </row>
    <row r="65" spans="1:28" x14ac:dyDescent="0.2">
      <c r="A65" s="298"/>
      <c r="B65" s="312"/>
      <c r="C65" s="299"/>
      <c r="D65" s="299"/>
      <c r="E65" s="299"/>
      <c r="F65" s="299"/>
      <c r="G65" s="299"/>
      <c r="H65" s="299"/>
      <c r="I65" s="299"/>
      <c r="J65" s="299"/>
      <c r="K65" s="299"/>
      <c r="L65" s="299"/>
      <c r="M65" s="299"/>
      <c r="N65" s="300"/>
      <c r="O65" s="459"/>
      <c r="P65" s="287"/>
      <c r="Q65" s="459"/>
      <c r="R65" s="459"/>
      <c r="S65" s="459"/>
      <c r="T65" s="459"/>
      <c r="U65" s="459"/>
      <c r="V65" s="459"/>
      <c r="W65" s="459"/>
      <c r="X65" s="459"/>
      <c r="Y65" s="459"/>
      <c r="Z65" s="459"/>
      <c r="AA65" s="459"/>
      <c r="AB65" s="459"/>
    </row>
    <row r="66" spans="1:28" x14ac:dyDescent="0.2">
      <c r="A66" s="298"/>
      <c r="B66" s="312"/>
      <c r="C66" s="299"/>
      <c r="D66" s="299"/>
      <c r="E66" s="299"/>
      <c r="F66" s="299"/>
      <c r="G66" s="299"/>
      <c r="H66" s="299"/>
      <c r="I66" s="299"/>
      <c r="J66" s="299"/>
      <c r="K66" s="299"/>
      <c r="L66" s="299"/>
      <c r="M66" s="299"/>
      <c r="N66" s="300"/>
      <c r="O66" s="459"/>
      <c r="P66" s="287"/>
      <c r="Q66" s="459"/>
      <c r="R66" s="459"/>
      <c r="S66" s="459"/>
      <c r="T66" s="459"/>
      <c r="U66" s="459"/>
      <c r="V66" s="459"/>
      <c r="W66" s="459"/>
      <c r="X66" s="459"/>
      <c r="Y66" s="459"/>
      <c r="Z66" s="459"/>
      <c r="AA66" s="459"/>
      <c r="AB66" s="459"/>
    </row>
    <row r="67" spans="1:28" x14ac:dyDescent="0.2">
      <c r="A67" s="298"/>
      <c r="B67" s="312"/>
      <c r="C67" s="299"/>
      <c r="D67" s="299"/>
      <c r="E67" s="299"/>
      <c r="F67" s="299"/>
      <c r="G67" s="299"/>
      <c r="H67" s="299"/>
      <c r="I67" s="299"/>
      <c r="J67" s="299"/>
      <c r="K67" s="299"/>
      <c r="L67" s="299"/>
      <c r="M67" s="299"/>
      <c r="N67" s="300"/>
      <c r="O67" s="459"/>
      <c r="P67" s="287"/>
      <c r="Q67" s="459"/>
      <c r="R67" s="459"/>
      <c r="S67" s="459"/>
      <c r="T67" s="459"/>
      <c r="U67" s="459"/>
      <c r="V67" s="459"/>
      <c r="W67" s="459"/>
      <c r="X67" s="459"/>
      <c r="Y67" s="459"/>
      <c r="Z67" s="459"/>
      <c r="AA67" s="459"/>
      <c r="AB67" s="459"/>
    </row>
    <row r="68" spans="1:28" x14ac:dyDescent="0.2">
      <c r="A68" s="298"/>
      <c r="B68" s="312"/>
      <c r="C68" s="299"/>
      <c r="D68" s="299"/>
      <c r="E68" s="299"/>
      <c r="F68" s="299"/>
      <c r="G68" s="299"/>
      <c r="H68" s="299"/>
      <c r="I68" s="299"/>
      <c r="J68" s="299"/>
      <c r="K68" s="299"/>
      <c r="L68" s="299"/>
      <c r="M68" s="299"/>
      <c r="N68" s="300"/>
      <c r="O68" s="459"/>
      <c r="P68" s="287"/>
      <c r="Q68" s="459"/>
      <c r="R68" s="459"/>
      <c r="S68" s="459"/>
      <c r="T68" s="459"/>
      <c r="U68" s="459"/>
      <c r="V68" s="459"/>
      <c r="W68" s="459"/>
      <c r="X68" s="459"/>
      <c r="Y68" s="459"/>
      <c r="Z68" s="459"/>
      <c r="AA68" s="459"/>
      <c r="AB68" s="459"/>
    </row>
    <row r="69" spans="1:28" x14ac:dyDescent="0.2">
      <c r="A69" s="298"/>
      <c r="B69" s="312"/>
      <c r="C69" s="299"/>
      <c r="D69" s="299"/>
      <c r="E69" s="299"/>
      <c r="F69" s="299"/>
      <c r="G69" s="299"/>
      <c r="H69" s="299"/>
      <c r="I69" s="299"/>
      <c r="J69" s="299"/>
      <c r="K69" s="299"/>
      <c r="L69" s="299"/>
      <c r="M69" s="299"/>
      <c r="N69" s="300"/>
      <c r="O69" s="459"/>
      <c r="P69" s="287"/>
      <c r="Q69" s="459"/>
      <c r="R69" s="459"/>
      <c r="S69" s="459"/>
      <c r="T69" s="459"/>
      <c r="U69" s="459"/>
      <c r="V69" s="459"/>
      <c r="W69" s="459"/>
      <c r="X69" s="459"/>
      <c r="Y69" s="459"/>
      <c r="Z69" s="459"/>
      <c r="AA69" s="459"/>
      <c r="AB69" s="459"/>
    </row>
    <row r="70" spans="1:28" x14ac:dyDescent="0.2">
      <c r="A70" s="298"/>
      <c r="B70" s="312"/>
      <c r="C70" s="299"/>
      <c r="D70" s="299"/>
      <c r="E70" s="299"/>
      <c r="F70" s="299"/>
      <c r="G70" s="299"/>
      <c r="H70" s="299"/>
      <c r="I70" s="299"/>
      <c r="J70" s="299"/>
      <c r="K70" s="299"/>
      <c r="L70" s="299"/>
      <c r="M70" s="299"/>
      <c r="N70" s="300"/>
      <c r="O70" s="459"/>
      <c r="P70" s="287"/>
      <c r="Q70" s="459"/>
      <c r="R70" s="459"/>
      <c r="S70" s="459"/>
      <c r="T70" s="459"/>
      <c r="U70" s="459"/>
      <c r="V70" s="459"/>
      <c r="W70" s="459"/>
      <c r="X70" s="459"/>
      <c r="Y70" s="459"/>
      <c r="Z70" s="459"/>
      <c r="AA70" s="459"/>
      <c r="AB70" s="459"/>
    </row>
    <row r="71" spans="1:28" x14ac:dyDescent="0.2">
      <c r="A71" s="298"/>
      <c r="B71" s="312"/>
      <c r="C71" s="299"/>
      <c r="D71" s="299"/>
      <c r="E71" s="299"/>
      <c r="F71" s="299"/>
      <c r="G71" s="299"/>
      <c r="H71" s="299"/>
      <c r="I71" s="299"/>
      <c r="J71" s="299"/>
      <c r="K71" s="299"/>
      <c r="L71" s="299"/>
      <c r="M71" s="299"/>
      <c r="N71" s="300"/>
      <c r="O71" s="459"/>
      <c r="P71" s="287"/>
      <c r="Q71" s="459"/>
      <c r="R71" s="459"/>
      <c r="S71" s="459"/>
      <c r="T71" s="459"/>
      <c r="U71" s="459"/>
      <c r="V71" s="459"/>
      <c r="W71" s="459"/>
      <c r="X71" s="459"/>
      <c r="Y71" s="459"/>
      <c r="Z71" s="459"/>
      <c r="AA71" s="459"/>
      <c r="AB71" s="459"/>
    </row>
    <row r="72" spans="1:28" x14ac:dyDescent="0.2">
      <c r="A72" s="298"/>
      <c r="B72" s="312"/>
      <c r="C72" s="299"/>
      <c r="D72" s="299"/>
      <c r="E72" s="299"/>
      <c r="F72" s="299"/>
      <c r="G72" s="299"/>
      <c r="H72" s="299"/>
      <c r="I72" s="299"/>
      <c r="J72" s="299"/>
      <c r="K72" s="299"/>
      <c r="L72" s="299"/>
      <c r="M72" s="299"/>
      <c r="N72" s="300"/>
      <c r="O72" s="459"/>
      <c r="P72" s="287"/>
      <c r="Q72" s="459"/>
      <c r="R72" s="459"/>
      <c r="S72" s="459"/>
      <c r="T72" s="459"/>
      <c r="U72" s="459"/>
      <c r="V72" s="459"/>
      <c r="W72" s="459"/>
      <c r="X72" s="459"/>
      <c r="Y72" s="459"/>
      <c r="Z72" s="459"/>
      <c r="AA72" s="459"/>
      <c r="AB72" s="459"/>
    </row>
    <row r="73" spans="1:28" x14ac:dyDescent="0.2">
      <c r="A73" s="298"/>
      <c r="B73" s="312"/>
      <c r="C73" s="299"/>
      <c r="D73" s="299"/>
      <c r="E73" s="299"/>
      <c r="F73" s="299"/>
      <c r="G73" s="299"/>
      <c r="H73" s="299"/>
      <c r="I73" s="299"/>
      <c r="J73" s="299"/>
      <c r="K73" s="299"/>
      <c r="L73" s="299"/>
      <c r="M73" s="299"/>
      <c r="N73" s="300"/>
      <c r="O73" s="459"/>
      <c r="P73" s="287"/>
      <c r="Q73" s="459"/>
      <c r="R73" s="459"/>
      <c r="S73" s="459"/>
      <c r="T73" s="459"/>
      <c r="U73" s="459"/>
      <c r="V73" s="459"/>
      <c r="W73" s="459"/>
      <c r="X73" s="459"/>
      <c r="Y73" s="459"/>
      <c r="Z73" s="459"/>
      <c r="AA73" s="459"/>
      <c r="AB73" s="459"/>
    </row>
    <row r="74" spans="1:28" x14ac:dyDescent="0.2">
      <c r="A74" s="298"/>
      <c r="B74" s="312"/>
      <c r="C74" s="299"/>
      <c r="D74" s="299"/>
      <c r="E74" s="299"/>
      <c r="F74" s="299"/>
      <c r="G74" s="299"/>
      <c r="H74" s="299"/>
      <c r="I74" s="299"/>
      <c r="J74" s="299"/>
      <c r="K74" s="299"/>
      <c r="L74" s="299"/>
      <c r="M74" s="299"/>
      <c r="N74" s="300"/>
      <c r="O74" s="459"/>
      <c r="P74" s="287"/>
      <c r="Q74" s="459"/>
      <c r="R74" s="459"/>
      <c r="S74" s="459"/>
      <c r="T74" s="459"/>
      <c r="U74" s="459"/>
      <c r="V74" s="459"/>
      <c r="W74" s="459"/>
      <c r="X74" s="459"/>
      <c r="Y74" s="459"/>
      <c r="Z74" s="459"/>
      <c r="AA74" s="459"/>
      <c r="AB74" s="459"/>
    </row>
    <row r="75" spans="1:28" x14ac:dyDescent="0.2">
      <c r="A75" s="298"/>
      <c r="B75" s="312"/>
      <c r="C75" s="299"/>
      <c r="D75" s="299"/>
      <c r="E75" s="299"/>
      <c r="F75" s="299"/>
      <c r="G75" s="299"/>
      <c r="H75" s="299"/>
      <c r="I75" s="299"/>
      <c r="J75" s="299"/>
      <c r="K75" s="299"/>
      <c r="L75" s="299"/>
      <c r="M75" s="299"/>
      <c r="N75" s="300"/>
      <c r="O75" s="459"/>
      <c r="P75" s="287"/>
      <c r="Q75" s="459"/>
      <c r="R75" s="459"/>
      <c r="S75" s="459"/>
      <c r="T75" s="459"/>
      <c r="U75" s="459"/>
      <c r="V75" s="459"/>
      <c r="W75" s="459"/>
      <c r="X75" s="459"/>
      <c r="Y75" s="459"/>
      <c r="Z75" s="459"/>
      <c r="AA75" s="459"/>
      <c r="AB75" s="459"/>
    </row>
    <row r="76" spans="1:28" x14ac:dyDescent="0.2">
      <c r="A76" s="298"/>
      <c r="B76" s="312"/>
      <c r="C76" s="299"/>
      <c r="D76" s="299"/>
      <c r="E76" s="299"/>
      <c r="F76" s="299"/>
      <c r="G76" s="299"/>
      <c r="H76" s="299"/>
      <c r="I76" s="299"/>
      <c r="J76" s="299"/>
      <c r="K76" s="299"/>
      <c r="L76" s="299"/>
      <c r="M76" s="299"/>
      <c r="N76" s="300"/>
      <c r="O76" s="459"/>
      <c r="P76" s="287"/>
      <c r="Q76" s="459"/>
      <c r="R76" s="459"/>
      <c r="S76" s="459"/>
      <c r="T76" s="459"/>
      <c r="U76" s="459"/>
      <c r="V76" s="459"/>
      <c r="W76" s="459"/>
      <c r="X76" s="459"/>
      <c r="Y76" s="459"/>
      <c r="Z76" s="459"/>
      <c r="AA76" s="459"/>
      <c r="AB76" s="459"/>
    </row>
    <row r="77" spans="1:28" x14ac:dyDescent="0.2">
      <c r="A77" s="298"/>
      <c r="B77" s="312"/>
      <c r="C77" s="299"/>
      <c r="D77" s="299"/>
      <c r="E77" s="299"/>
      <c r="F77" s="299"/>
      <c r="G77" s="299"/>
      <c r="H77" s="299"/>
      <c r="I77" s="299"/>
      <c r="J77" s="299"/>
      <c r="K77" s="299"/>
      <c r="L77" s="299"/>
      <c r="M77" s="299"/>
      <c r="N77" s="300"/>
      <c r="O77" s="459"/>
      <c r="P77" s="287"/>
      <c r="Q77" s="459"/>
      <c r="R77" s="459"/>
      <c r="S77" s="459"/>
      <c r="T77" s="459"/>
      <c r="U77" s="459"/>
      <c r="V77" s="459"/>
      <c r="W77" s="459"/>
      <c r="X77" s="459"/>
      <c r="Y77" s="459"/>
      <c r="Z77" s="459"/>
      <c r="AA77" s="459"/>
      <c r="AB77" s="459"/>
    </row>
    <row r="78" spans="1:28" x14ac:dyDescent="0.2">
      <c r="A78" s="298"/>
      <c r="B78" s="312"/>
      <c r="C78" s="299"/>
      <c r="D78" s="299"/>
      <c r="E78" s="299"/>
      <c r="F78" s="299"/>
      <c r="G78" s="299"/>
      <c r="H78" s="299"/>
      <c r="I78" s="299"/>
      <c r="J78" s="299"/>
      <c r="K78" s="299"/>
      <c r="L78" s="299"/>
      <c r="M78" s="299"/>
      <c r="N78" s="300"/>
      <c r="O78" s="459"/>
      <c r="P78" s="287"/>
      <c r="Q78" s="459"/>
      <c r="R78" s="459"/>
      <c r="S78" s="459"/>
      <c r="T78" s="459"/>
      <c r="U78" s="459"/>
      <c r="V78" s="459"/>
      <c r="W78" s="459"/>
      <c r="X78" s="459"/>
      <c r="Y78" s="459"/>
      <c r="Z78" s="459"/>
      <c r="AA78" s="459"/>
      <c r="AB78" s="459"/>
    </row>
    <row r="79" spans="1:28" x14ac:dyDescent="0.2">
      <c r="A79" s="298"/>
      <c r="B79" s="312"/>
      <c r="C79" s="299"/>
      <c r="D79" s="299"/>
      <c r="E79" s="299"/>
      <c r="F79" s="299"/>
      <c r="G79" s="299"/>
      <c r="H79" s="299"/>
      <c r="I79" s="299"/>
      <c r="J79" s="299"/>
      <c r="K79" s="299"/>
      <c r="L79" s="299"/>
      <c r="M79" s="299"/>
      <c r="N79" s="300"/>
      <c r="O79" s="459"/>
      <c r="P79" s="287"/>
      <c r="Q79" s="459"/>
      <c r="R79" s="459"/>
      <c r="S79" s="459"/>
      <c r="T79" s="459"/>
      <c r="U79" s="459"/>
      <c r="V79" s="459"/>
      <c r="W79" s="459"/>
      <c r="X79" s="459"/>
      <c r="Y79" s="459"/>
      <c r="Z79" s="459"/>
      <c r="AA79" s="459"/>
      <c r="AB79" s="459"/>
    </row>
    <row r="80" spans="1:28" x14ac:dyDescent="0.2">
      <c r="A80" s="298"/>
      <c r="B80" s="312"/>
      <c r="C80" s="299"/>
      <c r="D80" s="299"/>
      <c r="E80" s="299"/>
      <c r="F80" s="299"/>
      <c r="G80" s="299"/>
      <c r="H80" s="299"/>
      <c r="I80" s="299"/>
      <c r="J80" s="299"/>
      <c r="K80" s="299"/>
      <c r="L80" s="299"/>
      <c r="M80" s="299"/>
      <c r="N80" s="300"/>
      <c r="O80" s="459"/>
      <c r="P80" s="287"/>
      <c r="Q80" s="459"/>
      <c r="R80" s="459"/>
      <c r="S80" s="459"/>
      <c r="T80" s="459"/>
      <c r="U80" s="459"/>
      <c r="V80" s="459"/>
      <c r="W80" s="459"/>
      <c r="X80" s="459"/>
      <c r="Y80" s="459"/>
      <c r="Z80" s="459"/>
      <c r="AA80" s="459"/>
      <c r="AB80" s="459"/>
    </row>
    <row r="81" spans="1:28" x14ac:dyDescent="0.2">
      <c r="A81" s="298"/>
      <c r="B81" s="312"/>
      <c r="C81" s="299"/>
      <c r="D81" s="299"/>
      <c r="E81" s="299"/>
      <c r="F81" s="299"/>
      <c r="G81" s="299"/>
      <c r="H81" s="299"/>
      <c r="I81" s="299"/>
      <c r="J81" s="299"/>
      <c r="K81" s="299"/>
      <c r="L81" s="299"/>
      <c r="M81" s="299"/>
      <c r="N81" s="300"/>
      <c r="O81" s="459"/>
      <c r="P81" s="287"/>
      <c r="Q81" s="459"/>
      <c r="R81" s="459"/>
      <c r="S81" s="459"/>
      <c r="T81" s="459"/>
      <c r="U81" s="459"/>
      <c r="V81" s="459"/>
      <c r="W81" s="459"/>
      <c r="X81" s="459"/>
      <c r="Y81" s="459"/>
      <c r="Z81" s="459"/>
      <c r="AA81" s="459"/>
      <c r="AB81" s="459"/>
    </row>
    <row r="82" spans="1:28" x14ac:dyDescent="0.2">
      <c r="A82" s="298"/>
      <c r="B82" s="312"/>
      <c r="C82" s="299"/>
      <c r="D82" s="299"/>
      <c r="E82" s="299"/>
      <c r="F82" s="299"/>
      <c r="G82" s="299"/>
      <c r="H82" s="299"/>
      <c r="I82" s="299"/>
      <c r="J82" s="299"/>
      <c r="K82" s="299"/>
      <c r="L82" s="299"/>
      <c r="M82" s="299"/>
      <c r="N82" s="300"/>
      <c r="O82" s="459"/>
      <c r="P82" s="287"/>
      <c r="Q82" s="459"/>
      <c r="R82" s="459"/>
      <c r="S82" s="459"/>
      <c r="T82" s="459"/>
      <c r="U82" s="459"/>
      <c r="V82" s="459"/>
      <c r="W82" s="459"/>
      <c r="X82" s="459"/>
      <c r="Y82" s="459"/>
      <c r="Z82" s="459"/>
      <c r="AA82" s="459"/>
      <c r="AB82" s="459"/>
    </row>
    <row r="83" spans="1:28" x14ac:dyDescent="0.2">
      <c r="A83" s="298"/>
      <c r="B83" s="312"/>
      <c r="C83" s="299"/>
      <c r="D83" s="299"/>
      <c r="E83" s="299"/>
      <c r="F83" s="299"/>
      <c r="G83" s="299"/>
      <c r="H83" s="299"/>
      <c r="I83" s="299"/>
      <c r="J83" s="299"/>
      <c r="K83" s="299"/>
      <c r="L83" s="299"/>
      <c r="M83" s="299"/>
      <c r="N83" s="300"/>
      <c r="O83" s="459"/>
      <c r="P83" s="459"/>
      <c r="Q83" s="459"/>
      <c r="R83" s="459"/>
      <c r="S83" s="459"/>
      <c r="T83" s="459"/>
      <c r="U83" s="459"/>
      <c r="V83" s="459"/>
      <c r="W83" s="459"/>
      <c r="X83" s="459"/>
      <c r="Y83" s="459"/>
      <c r="Z83" s="459"/>
      <c r="AA83" s="459"/>
      <c r="AB83" s="459"/>
    </row>
    <row r="84" spans="1:28" x14ac:dyDescent="0.2">
      <c r="A84" s="298"/>
      <c r="B84" s="312"/>
      <c r="C84" s="299"/>
      <c r="D84" s="299"/>
      <c r="E84" s="299"/>
      <c r="F84" s="299"/>
      <c r="G84" s="299"/>
      <c r="H84" s="299"/>
      <c r="I84" s="299"/>
      <c r="J84" s="299"/>
      <c r="K84" s="299"/>
      <c r="L84" s="299"/>
      <c r="M84" s="299"/>
      <c r="N84" s="300"/>
      <c r="O84" s="459"/>
      <c r="P84" s="459"/>
      <c r="Q84" s="459"/>
      <c r="R84" s="459"/>
      <c r="S84" s="459"/>
      <c r="T84" s="459"/>
      <c r="U84" s="459"/>
      <c r="V84" s="459"/>
      <c r="W84" s="459"/>
      <c r="X84" s="459"/>
      <c r="Y84" s="459"/>
      <c r="Z84" s="459"/>
      <c r="AA84" s="459"/>
      <c r="AB84" s="459"/>
    </row>
    <row r="85" spans="1:28" x14ac:dyDescent="0.2">
      <c r="A85" s="298"/>
      <c r="B85" s="312"/>
      <c r="C85" s="299"/>
      <c r="D85" s="299"/>
      <c r="E85" s="299"/>
      <c r="F85" s="299"/>
      <c r="G85" s="299"/>
      <c r="H85" s="299"/>
      <c r="I85" s="299"/>
      <c r="J85" s="299"/>
      <c r="K85" s="299"/>
      <c r="L85" s="299"/>
      <c r="M85" s="299"/>
      <c r="N85" s="300"/>
      <c r="O85" s="459"/>
      <c r="P85" s="459"/>
      <c r="Q85" s="459"/>
      <c r="R85" s="459"/>
      <c r="S85" s="459"/>
      <c r="T85" s="459"/>
      <c r="U85" s="459"/>
      <c r="V85" s="459"/>
      <c r="W85" s="459"/>
      <c r="X85" s="459"/>
      <c r="Y85" s="459"/>
      <c r="Z85" s="459"/>
      <c r="AA85" s="459"/>
      <c r="AB85" s="459"/>
    </row>
    <row r="86" spans="1:28" x14ac:dyDescent="0.2">
      <c r="A86" s="298"/>
      <c r="B86" s="312"/>
      <c r="C86" s="299"/>
      <c r="D86" s="299"/>
      <c r="E86" s="299"/>
      <c r="F86" s="299"/>
      <c r="G86" s="299"/>
      <c r="H86" s="299"/>
      <c r="I86" s="299"/>
      <c r="J86" s="299"/>
      <c r="K86" s="299"/>
      <c r="L86" s="299"/>
      <c r="M86" s="299"/>
      <c r="N86" s="300"/>
      <c r="O86" s="459"/>
      <c r="P86" s="459"/>
      <c r="Q86" s="459"/>
      <c r="R86" s="459"/>
      <c r="S86" s="459"/>
      <c r="T86" s="459"/>
      <c r="U86" s="459"/>
      <c r="V86" s="459"/>
      <c r="W86" s="459"/>
      <c r="X86" s="459"/>
      <c r="Y86" s="459"/>
      <c r="Z86" s="459"/>
      <c r="AA86" s="459"/>
      <c r="AB86" s="459"/>
    </row>
    <row r="87" spans="1:28" x14ac:dyDescent="0.2">
      <c r="A87" s="298"/>
      <c r="B87" s="312"/>
      <c r="C87" s="299"/>
      <c r="D87" s="299"/>
      <c r="E87" s="299"/>
      <c r="F87" s="299"/>
      <c r="G87" s="299"/>
      <c r="H87" s="299"/>
      <c r="I87" s="299"/>
      <c r="J87" s="299"/>
      <c r="K87" s="299"/>
      <c r="L87" s="299"/>
      <c r="M87" s="299"/>
      <c r="N87" s="300"/>
      <c r="O87" s="459"/>
      <c r="P87" s="459"/>
      <c r="Q87" s="459"/>
      <c r="R87" s="459"/>
      <c r="S87" s="459"/>
      <c r="T87" s="459"/>
      <c r="U87" s="459"/>
      <c r="V87" s="459"/>
      <c r="W87" s="459"/>
      <c r="X87" s="459"/>
      <c r="Y87" s="459"/>
      <c r="Z87" s="459"/>
      <c r="AA87" s="459"/>
      <c r="AB87" s="459"/>
    </row>
    <row r="88" spans="1:28" x14ac:dyDescent="0.2">
      <c r="A88" s="298"/>
      <c r="B88" s="312"/>
      <c r="C88" s="299"/>
      <c r="D88" s="299"/>
      <c r="E88" s="299"/>
      <c r="F88" s="299"/>
      <c r="G88" s="299"/>
      <c r="H88" s="299"/>
      <c r="I88" s="299"/>
      <c r="J88" s="299"/>
      <c r="K88" s="299"/>
      <c r="L88" s="299"/>
      <c r="M88" s="299"/>
      <c r="N88" s="300"/>
      <c r="O88" s="459"/>
      <c r="P88" s="459"/>
      <c r="Q88" s="459"/>
      <c r="R88" s="459"/>
      <c r="S88" s="459"/>
      <c r="T88" s="459"/>
      <c r="U88" s="459"/>
      <c r="V88" s="459"/>
      <c r="W88" s="459"/>
      <c r="X88" s="459"/>
      <c r="Y88" s="459"/>
      <c r="Z88" s="459"/>
      <c r="AA88" s="459"/>
      <c r="AB88" s="459"/>
    </row>
    <row r="89" spans="1:28" x14ac:dyDescent="0.2">
      <c r="A89" s="298"/>
      <c r="B89" s="312"/>
      <c r="C89" s="299"/>
      <c r="D89" s="299"/>
      <c r="E89" s="299"/>
      <c r="F89" s="299"/>
      <c r="G89" s="299"/>
      <c r="H89" s="299"/>
      <c r="I89" s="299"/>
      <c r="J89" s="299"/>
      <c r="K89" s="299"/>
      <c r="L89" s="299"/>
      <c r="M89" s="299"/>
      <c r="N89" s="300"/>
      <c r="O89" s="459"/>
      <c r="P89" s="459"/>
      <c r="Q89" s="459"/>
      <c r="R89" s="459"/>
      <c r="S89" s="459"/>
      <c r="T89" s="459"/>
      <c r="U89" s="459"/>
      <c r="V89" s="459"/>
      <c r="W89" s="459"/>
      <c r="X89" s="459"/>
      <c r="Y89" s="459"/>
      <c r="Z89" s="459"/>
      <c r="AA89" s="459"/>
      <c r="AB89" s="459"/>
    </row>
    <row r="90" spans="1:28" x14ac:dyDescent="0.2">
      <c r="A90" s="298"/>
      <c r="B90" s="312"/>
      <c r="C90" s="299"/>
      <c r="D90" s="299"/>
      <c r="E90" s="299"/>
      <c r="F90" s="299"/>
      <c r="G90" s="299"/>
      <c r="H90" s="299"/>
      <c r="I90" s="299"/>
      <c r="J90" s="299"/>
      <c r="K90" s="299"/>
      <c r="L90" s="299"/>
      <c r="M90" s="299"/>
      <c r="N90" s="300"/>
      <c r="O90" s="459"/>
      <c r="P90" s="459"/>
      <c r="Q90" s="459"/>
      <c r="R90" s="459"/>
      <c r="S90" s="459"/>
      <c r="T90" s="459"/>
      <c r="U90" s="459"/>
      <c r="V90" s="459"/>
      <c r="W90" s="459"/>
      <c r="X90" s="459"/>
      <c r="Y90" s="459"/>
      <c r="Z90" s="459"/>
      <c r="AA90" s="459"/>
      <c r="AB90" s="459"/>
    </row>
    <row r="91" spans="1:28" x14ac:dyDescent="0.2">
      <c r="A91" s="298"/>
      <c r="B91" s="312"/>
      <c r="C91" s="299"/>
      <c r="D91" s="299"/>
      <c r="E91" s="299"/>
      <c r="F91" s="299"/>
      <c r="G91" s="299"/>
      <c r="H91" s="299"/>
      <c r="I91" s="299"/>
      <c r="J91" s="299"/>
      <c r="K91" s="299"/>
      <c r="L91" s="299"/>
      <c r="M91" s="299"/>
      <c r="N91" s="300"/>
      <c r="O91" s="459"/>
      <c r="P91" s="459"/>
      <c r="Q91" s="459"/>
      <c r="R91" s="459"/>
      <c r="S91" s="459"/>
      <c r="T91" s="459"/>
      <c r="U91" s="459"/>
      <c r="V91" s="459"/>
      <c r="W91" s="459"/>
      <c r="X91" s="459"/>
      <c r="Y91" s="459"/>
      <c r="Z91" s="459"/>
      <c r="AA91" s="459"/>
      <c r="AB91" s="459"/>
    </row>
    <row r="92" spans="1:28" x14ac:dyDescent="0.2">
      <c r="A92" s="298"/>
      <c r="B92" s="312"/>
      <c r="C92" s="299"/>
      <c r="D92" s="299"/>
      <c r="E92" s="299"/>
      <c r="F92" s="299"/>
      <c r="G92" s="299"/>
      <c r="H92" s="299"/>
      <c r="I92" s="299"/>
      <c r="J92" s="299"/>
      <c r="K92" s="299"/>
      <c r="L92" s="299"/>
      <c r="M92" s="299"/>
      <c r="N92" s="300"/>
      <c r="O92" s="459"/>
      <c r="P92" s="459"/>
      <c r="Q92" s="459"/>
      <c r="R92" s="459"/>
      <c r="S92" s="459"/>
      <c r="T92" s="459"/>
      <c r="U92" s="459"/>
      <c r="V92" s="459"/>
      <c r="W92" s="459"/>
      <c r="X92" s="459"/>
      <c r="Y92" s="459"/>
      <c r="Z92" s="459"/>
      <c r="AA92" s="459"/>
      <c r="AB92" s="459"/>
    </row>
    <row r="93" spans="1:28" x14ac:dyDescent="0.2">
      <c r="A93" s="298"/>
      <c r="B93" s="312"/>
      <c r="C93" s="299"/>
      <c r="D93" s="299"/>
      <c r="E93" s="299"/>
      <c r="F93" s="299"/>
      <c r="G93" s="299"/>
      <c r="H93" s="299"/>
      <c r="I93" s="299"/>
      <c r="J93" s="299"/>
      <c r="K93" s="299"/>
      <c r="L93" s="299"/>
      <c r="M93" s="299"/>
      <c r="N93" s="300"/>
      <c r="P93" s="459"/>
      <c r="Q93" s="459"/>
      <c r="R93" s="459"/>
      <c r="S93" s="459"/>
      <c r="T93" s="459"/>
      <c r="U93" s="459"/>
      <c r="V93" s="459"/>
      <c r="W93" s="459"/>
      <c r="X93" s="459"/>
      <c r="Y93" s="459"/>
      <c r="Z93" s="459"/>
      <c r="AA93" s="459"/>
      <c r="AB93" s="459"/>
    </row>
    <row r="94" spans="1:28" x14ac:dyDescent="0.2">
      <c r="A94" s="298"/>
      <c r="B94" s="312"/>
      <c r="C94" s="299"/>
      <c r="D94" s="299"/>
      <c r="E94" s="299"/>
      <c r="F94" s="299"/>
      <c r="G94" s="299"/>
      <c r="H94" s="299"/>
      <c r="I94" s="299"/>
      <c r="J94" s="299"/>
      <c r="K94" s="299"/>
      <c r="L94" s="299"/>
      <c r="M94" s="299"/>
      <c r="N94" s="300"/>
      <c r="P94" s="459"/>
      <c r="Q94" s="459"/>
      <c r="R94" s="459"/>
      <c r="S94" s="459"/>
      <c r="T94" s="459"/>
      <c r="U94" s="459"/>
      <c r="V94" s="459"/>
      <c r="W94" s="459"/>
      <c r="X94" s="459"/>
      <c r="Y94" s="459"/>
      <c r="Z94" s="459"/>
      <c r="AA94" s="459"/>
      <c r="AB94" s="459"/>
    </row>
    <row r="95" spans="1:28" x14ac:dyDescent="0.2">
      <c r="A95" s="298"/>
      <c r="B95" s="312"/>
      <c r="C95" s="299"/>
      <c r="D95" s="299"/>
      <c r="E95" s="299"/>
      <c r="F95" s="299"/>
      <c r="G95" s="299"/>
      <c r="H95" s="299"/>
      <c r="I95" s="299"/>
      <c r="J95" s="299"/>
      <c r="K95" s="299"/>
      <c r="L95" s="299"/>
      <c r="M95" s="299"/>
      <c r="N95" s="300"/>
      <c r="P95" s="459"/>
      <c r="Q95" s="459"/>
      <c r="R95" s="459"/>
      <c r="S95" s="459"/>
      <c r="T95" s="459"/>
      <c r="U95" s="459"/>
      <c r="V95" s="459"/>
      <c r="W95" s="459"/>
      <c r="X95" s="459"/>
      <c r="Y95" s="459"/>
      <c r="Z95" s="459"/>
      <c r="AA95" s="459"/>
      <c r="AB95" s="459"/>
    </row>
    <row r="96" spans="1:28" x14ac:dyDescent="0.2">
      <c r="A96" s="298"/>
      <c r="B96" s="312"/>
      <c r="C96" s="299"/>
      <c r="D96" s="299"/>
      <c r="E96" s="299"/>
      <c r="F96" s="299"/>
      <c r="G96" s="299"/>
      <c r="H96" s="299"/>
      <c r="I96" s="299"/>
      <c r="J96" s="299"/>
      <c r="K96" s="299"/>
      <c r="L96" s="299"/>
      <c r="M96" s="299"/>
      <c r="N96" s="300"/>
      <c r="P96" s="459"/>
      <c r="Q96" s="459"/>
      <c r="R96" s="459"/>
      <c r="S96" s="459"/>
      <c r="T96" s="459"/>
      <c r="U96" s="459"/>
      <c r="V96" s="459"/>
      <c r="W96" s="459"/>
      <c r="X96" s="459"/>
      <c r="Y96" s="459"/>
      <c r="Z96" s="459"/>
      <c r="AA96" s="459"/>
      <c r="AB96" s="459"/>
    </row>
    <row r="97" spans="1:28" x14ac:dyDescent="0.2">
      <c r="A97" s="298"/>
      <c r="B97" s="312"/>
      <c r="C97" s="299"/>
      <c r="D97" s="299"/>
      <c r="E97" s="299"/>
      <c r="F97" s="299"/>
      <c r="G97" s="299"/>
      <c r="H97" s="299"/>
      <c r="I97" s="299"/>
      <c r="J97" s="299"/>
      <c r="K97" s="299"/>
      <c r="L97" s="299"/>
      <c r="M97" s="299"/>
      <c r="N97" s="300"/>
      <c r="P97" s="459"/>
      <c r="Q97" s="459"/>
      <c r="R97" s="459"/>
      <c r="S97" s="459"/>
      <c r="T97" s="459"/>
      <c r="U97" s="459"/>
      <c r="V97" s="459"/>
      <c r="W97" s="459"/>
      <c r="X97" s="459"/>
      <c r="Y97" s="459"/>
      <c r="Z97" s="459"/>
      <c r="AA97" s="459"/>
      <c r="AB97" s="459"/>
    </row>
    <row r="98" spans="1:28" x14ac:dyDescent="0.2">
      <c r="A98" s="298"/>
      <c r="B98" s="312"/>
      <c r="C98" s="299"/>
      <c r="D98" s="299"/>
      <c r="E98" s="299"/>
      <c r="F98" s="299"/>
      <c r="G98" s="299"/>
      <c r="H98" s="299"/>
      <c r="I98" s="299"/>
      <c r="J98" s="299"/>
      <c r="K98" s="299"/>
      <c r="L98" s="299"/>
      <c r="M98" s="299"/>
      <c r="N98" s="300"/>
      <c r="P98" s="459"/>
      <c r="Q98" s="459"/>
      <c r="R98" s="459"/>
      <c r="S98" s="459"/>
      <c r="T98" s="459"/>
      <c r="U98" s="459"/>
      <c r="V98" s="459"/>
      <c r="W98" s="459"/>
      <c r="X98" s="459"/>
      <c r="Y98" s="459"/>
      <c r="Z98" s="459"/>
      <c r="AA98" s="459"/>
      <c r="AB98" s="459"/>
    </row>
    <row r="99" spans="1:28" x14ac:dyDescent="0.2">
      <c r="A99" s="298"/>
      <c r="B99" s="312"/>
      <c r="C99" s="299"/>
      <c r="D99" s="299"/>
      <c r="E99" s="299"/>
      <c r="F99" s="299"/>
      <c r="G99" s="299"/>
      <c r="H99" s="299"/>
      <c r="I99" s="299"/>
      <c r="J99" s="299"/>
      <c r="K99" s="299"/>
      <c r="L99" s="299"/>
      <c r="M99" s="299"/>
      <c r="N99" s="300"/>
      <c r="P99" s="459"/>
      <c r="Q99" s="459"/>
      <c r="R99" s="459"/>
      <c r="S99" s="459"/>
      <c r="T99" s="459"/>
      <c r="U99" s="459"/>
      <c r="V99" s="459"/>
      <c r="W99" s="459"/>
      <c r="X99" s="459"/>
      <c r="Y99" s="459"/>
      <c r="Z99" s="459"/>
      <c r="AA99" s="459"/>
      <c r="AB99" s="459"/>
    </row>
    <row r="100" spans="1:28" x14ac:dyDescent="0.2">
      <c r="A100" s="298"/>
      <c r="B100" s="312"/>
      <c r="C100" s="299"/>
      <c r="D100" s="299"/>
      <c r="E100" s="299"/>
      <c r="F100" s="299"/>
      <c r="G100" s="299"/>
      <c r="H100" s="299"/>
      <c r="I100" s="299"/>
      <c r="J100" s="299"/>
      <c r="K100" s="299"/>
      <c r="L100" s="299"/>
      <c r="M100" s="299"/>
      <c r="N100" s="300"/>
    </row>
    <row r="101" spans="1:28" x14ac:dyDescent="0.2">
      <c r="A101" s="298"/>
      <c r="B101" s="312"/>
      <c r="C101" s="299"/>
      <c r="D101" s="299"/>
      <c r="E101" s="299"/>
      <c r="F101" s="299"/>
      <c r="G101" s="299"/>
      <c r="H101" s="299"/>
      <c r="I101" s="299"/>
      <c r="J101" s="299"/>
      <c r="K101" s="299"/>
      <c r="L101" s="299"/>
      <c r="M101" s="299"/>
      <c r="N101" s="300"/>
    </row>
    <row r="102" spans="1:28" x14ac:dyDescent="0.2">
      <c r="A102" s="298"/>
      <c r="B102" s="312"/>
      <c r="C102" s="299"/>
      <c r="D102" s="299"/>
      <c r="E102" s="299"/>
      <c r="F102" s="299"/>
      <c r="G102" s="299"/>
      <c r="H102" s="299"/>
      <c r="I102" s="299"/>
      <c r="J102" s="299"/>
      <c r="K102" s="299"/>
      <c r="L102" s="299"/>
      <c r="M102" s="299"/>
      <c r="N102" s="300"/>
    </row>
    <row r="103" spans="1:28" x14ac:dyDescent="0.2">
      <c r="A103" s="298"/>
      <c r="B103" s="312"/>
      <c r="C103" s="299"/>
      <c r="D103" s="299"/>
      <c r="E103" s="299"/>
      <c r="F103" s="299"/>
      <c r="G103" s="299"/>
      <c r="H103" s="299"/>
      <c r="I103" s="299"/>
      <c r="J103" s="299"/>
      <c r="K103" s="299"/>
      <c r="L103" s="299"/>
      <c r="M103" s="299"/>
      <c r="N103" s="300"/>
    </row>
    <row r="104" spans="1:28" x14ac:dyDescent="0.2">
      <c r="A104" s="298"/>
      <c r="B104" s="312"/>
      <c r="C104" s="299"/>
      <c r="D104" s="299"/>
      <c r="E104" s="299"/>
      <c r="F104" s="299"/>
      <c r="G104" s="299"/>
      <c r="H104" s="299"/>
      <c r="I104" s="299"/>
      <c r="J104" s="299"/>
      <c r="K104" s="299"/>
      <c r="L104" s="299"/>
      <c r="M104" s="299"/>
      <c r="N104" s="300"/>
    </row>
    <row r="105" spans="1:28" x14ac:dyDescent="0.2">
      <c r="A105" s="298"/>
      <c r="B105" s="312"/>
      <c r="C105" s="299"/>
      <c r="D105" s="299"/>
      <c r="E105" s="299"/>
      <c r="F105" s="299"/>
      <c r="G105" s="299"/>
      <c r="H105" s="299"/>
      <c r="I105" s="299"/>
      <c r="J105" s="299"/>
      <c r="K105" s="299"/>
      <c r="L105" s="299"/>
      <c r="M105" s="299"/>
      <c r="N105" s="300"/>
    </row>
    <row r="106" spans="1:28" x14ac:dyDescent="0.2">
      <c r="A106" s="298"/>
      <c r="B106" s="312"/>
      <c r="C106" s="299"/>
      <c r="D106" s="299"/>
      <c r="E106" s="299"/>
      <c r="F106" s="299"/>
      <c r="G106" s="299"/>
      <c r="H106" s="299"/>
      <c r="I106" s="299"/>
      <c r="J106" s="299"/>
      <c r="K106" s="299"/>
      <c r="L106" s="299"/>
      <c r="M106" s="299"/>
      <c r="N106" s="300"/>
    </row>
    <row r="107" spans="1:28" x14ac:dyDescent="0.2">
      <c r="A107" s="298"/>
      <c r="B107" s="312"/>
      <c r="C107" s="299"/>
      <c r="D107" s="299"/>
      <c r="E107" s="299"/>
      <c r="F107" s="299"/>
      <c r="G107" s="299"/>
      <c r="H107" s="299"/>
      <c r="I107" s="299"/>
      <c r="J107" s="299"/>
      <c r="K107" s="299"/>
      <c r="L107" s="299"/>
      <c r="M107" s="299"/>
      <c r="N107" s="300"/>
    </row>
    <row r="108" spans="1:28" ht="13.5" thickBot="1" x14ac:dyDescent="0.25">
      <c r="A108" s="302"/>
      <c r="B108" s="788"/>
      <c r="C108" s="304"/>
      <c r="D108" s="304"/>
      <c r="E108" s="304"/>
      <c r="F108" s="304"/>
      <c r="G108" s="304"/>
      <c r="H108" s="304"/>
      <c r="I108" s="304"/>
      <c r="J108" s="304"/>
      <c r="K108" s="304"/>
      <c r="L108" s="304"/>
      <c r="M108" s="304"/>
      <c r="N108" s="305"/>
    </row>
    <row r="109" spans="1:28" ht="13.5" thickBot="1" x14ac:dyDescent="0.25">
      <c r="A109" s="468" t="s">
        <v>79</v>
      </c>
      <c r="B109" s="789">
        <f>SUM(B7:B108)</f>
        <v>0</v>
      </c>
      <c r="C109" s="463"/>
      <c r="D109" s="463"/>
      <c r="E109" s="463"/>
      <c r="F109" s="463"/>
      <c r="G109" s="463"/>
      <c r="H109" s="463"/>
      <c r="I109" s="463"/>
      <c r="J109" s="463"/>
      <c r="K109" s="463"/>
      <c r="L109" s="463"/>
      <c r="M109" s="463"/>
      <c r="N109" s="464"/>
    </row>
    <row r="110" spans="1:28" x14ac:dyDescent="0.2">
      <c r="A110" s="465"/>
      <c r="B110" s="790"/>
      <c r="C110" s="459"/>
      <c r="D110" s="459"/>
      <c r="E110" s="459"/>
      <c r="F110" s="459"/>
      <c r="G110" s="459"/>
      <c r="H110" s="459"/>
      <c r="I110" s="459"/>
      <c r="J110" s="459"/>
      <c r="K110" s="459"/>
      <c r="L110" s="459"/>
      <c r="M110" s="459"/>
      <c r="N110" s="459"/>
    </row>
    <row r="111" spans="1:28" x14ac:dyDescent="0.2">
      <c r="A111" s="465"/>
      <c r="B111" s="791"/>
      <c r="C111" s="459"/>
      <c r="D111" s="459"/>
      <c r="E111" s="459"/>
      <c r="F111" s="459"/>
      <c r="G111" s="459"/>
      <c r="H111" s="459"/>
      <c r="I111" s="459"/>
      <c r="J111" s="459"/>
      <c r="K111" s="459"/>
      <c r="L111" s="459"/>
      <c r="M111" s="459"/>
      <c r="N111" s="459"/>
    </row>
    <row r="112" spans="1:28" x14ac:dyDescent="0.2">
      <c r="A112" s="465"/>
      <c r="B112" s="791"/>
      <c r="C112" s="459"/>
      <c r="D112" s="459"/>
      <c r="E112" s="459"/>
      <c r="F112" s="459"/>
      <c r="G112" s="459"/>
      <c r="H112" s="459"/>
      <c r="I112" s="459"/>
      <c r="J112" s="459"/>
      <c r="K112" s="459"/>
      <c r="L112" s="459"/>
      <c r="M112" s="459"/>
      <c r="N112" s="459"/>
    </row>
    <row r="113" spans="1:14" x14ac:dyDescent="0.2">
      <c r="A113" s="465"/>
      <c r="B113" s="791"/>
      <c r="C113" s="459"/>
      <c r="D113" s="459"/>
      <c r="E113" s="459"/>
      <c r="F113" s="459"/>
      <c r="G113" s="459"/>
      <c r="H113" s="459"/>
      <c r="I113" s="459"/>
      <c r="J113" s="459"/>
      <c r="K113" s="459"/>
      <c r="L113" s="459"/>
      <c r="M113" s="459"/>
      <c r="N113" s="459"/>
    </row>
    <row r="114" spans="1:14" x14ac:dyDescent="0.2">
      <c r="A114" s="465"/>
      <c r="B114" s="791"/>
      <c r="C114" s="459"/>
      <c r="D114" s="459"/>
      <c r="E114" s="459"/>
      <c r="F114" s="459"/>
      <c r="G114" s="459"/>
      <c r="H114" s="459"/>
      <c r="I114" s="459"/>
      <c r="J114" s="459"/>
      <c r="K114" s="459"/>
      <c r="L114" s="459"/>
      <c r="M114" s="459"/>
      <c r="N114" s="459"/>
    </row>
    <row r="115" spans="1:14" x14ac:dyDescent="0.2">
      <c r="A115" s="465"/>
      <c r="B115" s="791"/>
      <c r="C115" s="459"/>
      <c r="D115" s="459"/>
      <c r="E115" s="459"/>
      <c r="F115" s="459"/>
      <c r="G115" s="459"/>
      <c r="H115" s="459"/>
      <c r="I115" s="459"/>
      <c r="J115" s="459"/>
      <c r="K115" s="459"/>
      <c r="L115" s="459"/>
      <c r="M115" s="459"/>
      <c r="N115" s="459"/>
    </row>
    <row r="116" spans="1:14" x14ac:dyDescent="0.2">
      <c r="A116" s="465"/>
      <c r="B116" s="791"/>
      <c r="C116" s="459"/>
      <c r="D116" s="459"/>
      <c r="E116" s="459"/>
      <c r="F116" s="459"/>
      <c r="G116" s="459"/>
      <c r="H116" s="459"/>
      <c r="I116" s="459"/>
      <c r="J116" s="459"/>
      <c r="K116" s="459"/>
      <c r="L116" s="459"/>
      <c r="M116" s="459"/>
      <c r="N116" s="459"/>
    </row>
    <row r="117" spans="1:14" x14ac:dyDescent="0.2">
      <c r="A117" s="465"/>
      <c r="B117" s="791"/>
      <c r="C117" s="459"/>
      <c r="D117" s="459"/>
      <c r="E117" s="459"/>
      <c r="F117" s="459"/>
      <c r="G117" s="459"/>
      <c r="H117" s="459"/>
      <c r="I117" s="459"/>
      <c r="J117" s="459"/>
      <c r="K117" s="459"/>
      <c r="L117" s="459"/>
      <c r="M117" s="459"/>
      <c r="N117" s="459"/>
    </row>
    <row r="118" spans="1:14" x14ac:dyDescent="0.2">
      <c r="A118" s="465"/>
      <c r="B118" s="791"/>
      <c r="C118" s="459"/>
      <c r="D118" s="459"/>
      <c r="E118" s="459"/>
      <c r="F118" s="459"/>
      <c r="G118" s="459"/>
      <c r="H118" s="459"/>
      <c r="I118" s="459"/>
      <c r="J118" s="459"/>
      <c r="K118" s="459"/>
      <c r="L118" s="459"/>
      <c r="M118" s="459"/>
      <c r="N118" s="459"/>
    </row>
    <row r="119" spans="1:14" x14ac:dyDescent="0.2">
      <c r="A119" s="465"/>
      <c r="B119" s="791"/>
      <c r="C119" s="459"/>
      <c r="D119" s="459"/>
      <c r="E119" s="459"/>
      <c r="F119" s="459"/>
      <c r="G119" s="459"/>
      <c r="H119" s="459"/>
      <c r="I119" s="459"/>
      <c r="J119" s="459"/>
      <c r="K119" s="459"/>
      <c r="L119" s="459"/>
      <c r="M119" s="459"/>
      <c r="N119" s="459"/>
    </row>
    <row r="120" spans="1:14" x14ac:dyDescent="0.2">
      <c r="A120" s="465"/>
      <c r="B120" s="791"/>
      <c r="C120" s="459"/>
      <c r="D120" s="459"/>
      <c r="E120" s="459"/>
      <c r="F120" s="459"/>
      <c r="G120" s="459"/>
      <c r="H120" s="459"/>
      <c r="I120" s="459"/>
      <c r="J120" s="459"/>
      <c r="K120" s="459"/>
      <c r="L120" s="459"/>
      <c r="M120" s="459"/>
      <c r="N120" s="459"/>
    </row>
    <row r="121" spans="1:14" x14ac:dyDescent="0.2">
      <c r="C121" s="459"/>
      <c r="D121" s="459"/>
      <c r="E121" s="459"/>
      <c r="F121" s="459"/>
      <c r="G121" s="459"/>
      <c r="H121" s="459"/>
      <c r="I121" s="459"/>
      <c r="J121" s="459"/>
      <c r="K121" s="459"/>
      <c r="L121" s="459"/>
      <c r="M121" s="459"/>
      <c r="N121" s="459"/>
    </row>
    <row r="122" spans="1:14" x14ac:dyDescent="0.2">
      <c r="C122" s="459"/>
      <c r="D122" s="459"/>
      <c r="E122" s="459"/>
      <c r="F122" s="459"/>
      <c r="G122" s="459"/>
      <c r="H122" s="459"/>
      <c r="I122" s="459"/>
      <c r="J122" s="459"/>
      <c r="K122" s="459"/>
      <c r="L122" s="459"/>
      <c r="M122" s="459"/>
      <c r="N122" s="459"/>
    </row>
    <row r="123" spans="1:14" x14ac:dyDescent="0.2">
      <c r="C123" s="459"/>
      <c r="D123" s="459"/>
      <c r="E123" s="459"/>
      <c r="F123" s="459"/>
      <c r="G123" s="459"/>
      <c r="H123" s="459"/>
      <c r="I123" s="459"/>
      <c r="J123" s="459"/>
      <c r="K123" s="459"/>
      <c r="L123" s="459"/>
      <c r="M123" s="459"/>
      <c r="N123" s="459"/>
    </row>
    <row r="124" spans="1:14" x14ac:dyDescent="0.2">
      <c r="C124" s="459"/>
      <c r="D124" s="459"/>
      <c r="E124" s="459"/>
      <c r="F124" s="459"/>
      <c r="G124" s="459"/>
      <c r="H124" s="459"/>
      <c r="I124" s="459"/>
      <c r="J124" s="459"/>
      <c r="K124" s="459"/>
      <c r="L124" s="459"/>
      <c r="M124" s="459"/>
      <c r="N124" s="459"/>
    </row>
    <row r="125" spans="1:14" x14ac:dyDescent="0.2">
      <c r="C125" s="459"/>
      <c r="D125" s="459"/>
      <c r="E125" s="459"/>
      <c r="F125" s="459"/>
      <c r="G125" s="459"/>
      <c r="H125" s="459"/>
      <c r="I125" s="459"/>
      <c r="J125" s="459"/>
      <c r="K125" s="459"/>
      <c r="L125" s="459"/>
      <c r="M125" s="459"/>
      <c r="N125" s="459"/>
    </row>
    <row r="126" spans="1:14" x14ac:dyDescent="0.2">
      <c r="C126" s="459"/>
      <c r="D126" s="459"/>
      <c r="E126" s="459"/>
      <c r="F126" s="459"/>
      <c r="G126" s="459"/>
      <c r="H126" s="459"/>
      <c r="I126" s="459"/>
      <c r="J126" s="459"/>
      <c r="K126" s="459"/>
      <c r="L126" s="459"/>
      <c r="M126" s="459"/>
      <c r="N126" s="459"/>
    </row>
    <row r="127" spans="1:14" x14ac:dyDescent="0.2">
      <c r="C127" s="459"/>
      <c r="D127" s="459"/>
      <c r="E127" s="459"/>
      <c r="F127" s="459"/>
      <c r="G127" s="459"/>
      <c r="H127" s="459"/>
      <c r="I127" s="459"/>
      <c r="J127" s="459"/>
      <c r="K127" s="459"/>
      <c r="L127" s="459"/>
      <c r="M127" s="459"/>
      <c r="N127" s="459"/>
    </row>
    <row r="128" spans="1:14" x14ac:dyDescent="0.2">
      <c r="C128" s="459"/>
      <c r="D128" s="459"/>
      <c r="E128" s="459"/>
      <c r="F128" s="459"/>
      <c r="G128" s="459"/>
      <c r="H128" s="459"/>
      <c r="I128" s="459"/>
      <c r="J128" s="459"/>
      <c r="K128" s="459"/>
      <c r="L128" s="459"/>
      <c r="M128" s="459"/>
      <c r="N128" s="459"/>
    </row>
    <row r="129" spans="3:14" x14ac:dyDescent="0.2">
      <c r="C129" s="459"/>
      <c r="D129" s="459"/>
      <c r="E129" s="459"/>
      <c r="F129" s="459"/>
      <c r="G129" s="459"/>
      <c r="H129" s="459"/>
      <c r="I129" s="459"/>
      <c r="J129" s="459"/>
      <c r="K129" s="459"/>
      <c r="L129" s="459"/>
      <c r="M129" s="459"/>
      <c r="N129" s="459"/>
    </row>
    <row r="130" spans="3:14" x14ac:dyDescent="0.2">
      <c r="C130" s="459"/>
      <c r="D130" s="459"/>
      <c r="E130" s="459"/>
      <c r="F130" s="459"/>
      <c r="G130" s="459"/>
      <c r="H130" s="459"/>
      <c r="I130" s="459"/>
      <c r="J130" s="459"/>
      <c r="K130" s="459"/>
      <c r="L130" s="459"/>
      <c r="M130" s="459"/>
      <c r="N130" s="459"/>
    </row>
    <row r="131" spans="3:14" x14ac:dyDescent="0.2">
      <c r="C131" s="459"/>
      <c r="D131" s="459"/>
      <c r="E131" s="459"/>
      <c r="F131" s="459"/>
      <c r="G131" s="459"/>
      <c r="H131" s="459"/>
      <c r="I131" s="459"/>
      <c r="J131" s="459"/>
      <c r="K131" s="459"/>
      <c r="L131" s="459"/>
      <c r="M131" s="459"/>
      <c r="N131" s="459"/>
    </row>
    <row r="132" spans="3:14" x14ac:dyDescent="0.2">
      <c r="C132" s="459"/>
      <c r="D132" s="459"/>
      <c r="E132" s="459"/>
      <c r="F132" s="459"/>
      <c r="G132" s="459"/>
      <c r="H132" s="459"/>
      <c r="I132" s="459"/>
      <c r="J132" s="459"/>
      <c r="K132" s="459"/>
      <c r="L132" s="459"/>
      <c r="M132" s="459"/>
      <c r="N132" s="459"/>
    </row>
    <row r="133" spans="3:14" x14ac:dyDescent="0.2">
      <c r="C133" s="459"/>
      <c r="D133" s="459"/>
      <c r="E133" s="459"/>
      <c r="F133" s="459"/>
      <c r="G133" s="459"/>
      <c r="H133" s="459"/>
      <c r="I133" s="459"/>
      <c r="J133" s="459"/>
      <c r="K133" s="459"/>
      <c r="L133" s="459"/>
      <c r="M133" s="459"/>
      <c r="N133" s="459"/>
    </row>
    <row r="134" spans="3:14" x14ac:dyDescent="0.2">
      <c r="C134" s="459"/>
      <c r="D134" s="459"/>
      <c r="E134" s="459"/>
      <c r="F134" s="459"/>
      <c r="G134" s="459"/>
      <c r="H134" s="459"/>
      <c r="I134" s="459"/>
      <c r="J134" s="459"/>
      <c r="K134" s="459"/>
      <c r="L134" s="459"/>
      <c r="M134" s="459"/>
      <c r="N134" s="459"/>
    </row>
    <row r="135" spans="3:14" x14ac:dyDescent="0.2">
      <c r="C135" s="459"/>
      <c r="D135" s="459"/>
      <c r="E135" s="459"/>
      <c r="F135" s="459"/>
      <c r="G135" s="459"/>
      <c r="H135" s="459"/>
      <c r="I135" s="459"/>
      <c r="J135" s="459"/>
      <c r="K135" s="459"/>
      <c r="L135" s="459"/>
      <c r="M135" s="459"/>
      <c r="N135" s="459"/>
    </row>
  </sheetData>
  <sheetProtection formatCells="0" insertRows="0" deleteRows="0" sort="0" autoFilter="0"/>
  <mergeCells count="1">
    <mergeCell ref="A1:N1"/>
  </mergeCells>
  <dataValidations count="1">
    <dataValidation type="list" allowBlank="1" showInputMessage="1" showErrorMessage="1" sqref="C7:N107" xr:uid="{00000000-0002-0000-0200-000000000000}">
      <formula1>$P$7:$P$18</formula1>
    </dataValidation>
  </dataValidations>
  <hyperlinks>
    <hyperlink ref="A3" location="Instructions!A16" display="Instructions"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D8BE-0C1D-4BE1-AD91-333ED83AB0CB}">
  <sheetPr>
    <tabColor rgb="FF00B0F0"/>
  </sheetPr>
  <dimension ref="A1:AF48"/>
  <sheetViews>
    <sheetView tabSelected="1" zoomScale="130" zoomScaleNormal="130" workbookViewId="0">
      <pane xSplit="2" ySplit="2" topLeftCell="C6" activePane="bottomRight" state="frozen"/>
      <selection sqref="A1:XFD1048576"/>
      <selection pane="topRight" sqref="A1:XFD1048576"/>
      <selection pane="bottomLeft" sqref="A1:XFD1048576"/>
      <selection pane="bottomRight" activeCell="I20" sqref="I20"/>
    </sheetView>
  </sheetViews>
  <sheetFormatPr defaultRowHeight="12.75" x14ac:dyDescent="0.2"/>
  <cols>
    <col min="1" max="1" width="24.1640625" customWidth="1"/>
    <col min="2" max="2" width="11.5" style="544" bestFit="1" customWidth="1"/>
    <col min="3" max="14" width="10.6640625" customWidth="1"/>
    <col min="16" max="16" width="9.83203125" bestFit="1" customWidth="1"/>
  </cols>
  <sheetData>
    <row r="1" spans="1:31" ht="13.5" thickBot="1" x14ac:dyDescent="0.25"/>
    <row r="2" spans="1:31" x14ac:dyDescent="0.2">
      <c r="A2" s="449"/>
      <c r="B2" s="545" t="s">
        <v>0</v>
      </c>
      <c r="C2" s="447" t="str">
        <f>'P1 Area'!C6</f>
        <v>Mar</v>
      </c>
      <c r="D2" s="448" t="str">
        <f>'P1 Area'!D6</f>
        <v>Apr</v>
      </c>
      <c r="E2" s="448" t="str">
        <f>'P1 Area'!E6</f>
        <v>May</v>
      </c>
      <c r="F2" s="448" t="str">
        <f>'P1 Area'!F6</f>
        <v>Jun</v>
      </c>
      <c r="G2" s="448" t="str">
        <f>'P1 Area'!G6</f>
        <v>Jul</v>
      </c>
      <c r="H2" s="449" t="str">
        <f>'P1 Area'!H6</f>
        <v>Aug</v>
      </c>
      <c r="I2" s="448" t="str">
        <f>'P1 Area'!I6</f>
        <v>Sep</v>
      </c>
      <c r="J2" s="448" t="str">
        <f>'P1 Area'!J6</f>
        <v>Oct</v>
      </c>
      <c r="K2" s="448" t="str">
        <f>'P1 Area'!K6</f>
        <v>Nov</v>
      </c>
      <c r="L2" s="448" t="str">
        <f>'P1 Area'!L6</f>
        <v>Dec</v>
      </c>
      <c r="M2" s="448" t="str">
        <f>'P1 Area'!M6</f>
        <v>Jan</v>
      </c>
      <c r="N2" s="472" t="str">
        <f>'P1 Area'!N6</f>
        <v>Feb</v>
      </c>
      <c r="R2" t="s">
        <v>523</v>
      </c>
      <c r="S2" t="s">
        <v>524</v>
      </c>
    </row>
    <row r="3" spans="1:31" x14ac:dyDescent="0.2">
      <c r="A3" s="537" t="s">
        <v>293</v>
      </c>
      <c r="B3" s="546"/>
      <c r="C3" s="540">
        <v>1230</v>
      </c>
      <c r="D3" s="529">
        <f>C10</f>
        <v>1230</v>
      </c>
      <c r="E3" s="529">
        <f t="shared" ref="E3:N3" si="0">D10</f>
        <v>1230</v>
      </c>
      <c r="F3" s="529">
        <f t="shared" si="0"/>
        <v>1178</v>
      </c>
      <c r="G3" s="529">
        <f t="shared" si="0"/>
        <v>1281</v>
      </c>
      <c r="H3" s="529">
        <f t="shared" si="0"/>
        <v>1432</v>
      </c>
      <c r="I3" s="529">
        <f t="shared" si="0"/>
        <v>1417</v>
      </c>
      <c r="J3" s="529">
        <f t="shared" si="0"/>
        <v>1402</v>
      </c>
      <c r="K3" s="529">
        <f t="shared" si="0"/>
        <v>1387</v>
      </c>
      <c r="L3" s="529">
        <f t="shared" si="0"/>
        <v>1372</v>
      </c>
      <c r="M3" s="529">
        <f t="shared" si="0"/>
        <v>1357</v>
      </c>
      <c r="N3" s="530">
        <f t="shared" si="0"/>
        <v>1342</v>
      </c>
      <c r="R3">
        <v>1091</v>
      </c>
      <c r="S3">
        <v>339</v>
      </c>
      <c r="T3">
        <f>SUM(R3:S3)</f>
        <v>1430</v>
      </c>
      <c r="U3">
        <v>247</v>
      </c>
    </row>
    <row r="4" spans="1:31" x14ac:dyDescent="0.2">
      <c r="A4" s="538" t="s">
        <v>294</v>
      </c>
      <c r="B4" s="547">
        <f>SUM(C4:N4)</f>
        <v>136</v>
      </c>
      <c r="C4" s="541"/>
      <c r="D4" s="299"/>
      <c r="E4" s="299">
        <v>38</v>
      </c>
      <c r="F4" s="299">
        <v>48</v>
      </c>
      <c r="G4" s="299">
        <v>50</v>
      </c>
      <c r="H4" s="299"/>
      <c r="I4" s="299"/>
      <c r="J4" s="299"/>
      <c r="K4" s="299"/>
      <c r="L4" s="299"/>
      <c r="M4" s="299"/>
      <c r="N4" s="300"/>
      <c r="P4">
        <f>800*0.15</f>
        <v>120</v>
      </c>
      <c r="Q4" t="s">
        <v>525</v>
      </c>
      <c r="R4">
        <v>132</v>
      </c>
      <c r="T4">
        <f t="shared" ref="T4:T5" si="1">SUM(R4:S4)</f>
        <v>132</v>
      </c>
      <c r="V4" s="784"/>
    </row>
    <row r="5" spans="1:31" x14ac:dyDescent="0.2">
      <c r="A5" s="538" t="s">
        <v>295</v>
      </c>
      <c r="B5" s="547">
        <f>SUM(C5:N5)</f>
        <v>186</v>
      </c>
      <c r="C5" s="541"/>
      <c r="D5" s="299"/>
      <c r="E5" s="299"/>
      <c r="F5" s="299">
        <v>70</v>
      </c>
      <c r="G5" s="299">
        <v>116</v>
      </c>
      <c r="H5" s="299"/>
      <c r="I5" s="299"/>
      <c r="J5" s="299"/>
      <c r="K5" s="299"/>
      <c r="L5" s="299"/>
      <c r="M5" s="299"/>
      <c r="N5" s="300"/>
      <c r="Q5" t="s">
        <v>526</v>
      </c>
      <c r="R5">
        <v>7</v>
      </c>
      <c r="T5">
        <f t="shared" si="1"/>
        <v>7</v>
      </c>
    </row>
    <row r="6" spans="1:31" x14ac:dyDescent="0.2">
      <c r="A6" s="538" t="s">
        <v>296</v>
      </c>
      <c r="B6" s="547">
        <f>SUM(C6:N6)</f>
        <v>70</v>
      </c>
      <c r="C6" s="541"/>
      <c r="D6" s="299"/>
      <c r="E6" s="299">
        <v>70</v>
      </c>
      <c r="F6" s="299"/>
      <c r="G6" s="299"/>
      <c r="H6" s="299"/>
      <c r="I6" s="299"/>
      <c r="J6" s="299"/>
      <c r="K6" s="299"/>
      <c r="L6" s="299"/>
      <c r="M6" s="299"/>
      <c r="N6" s="300"/>
      <c r="T6">
        <f>T3-T4+T5</f>
        <v>1305</v>
      </c>
      <c r="U6">
        <f>U3+T4-T5</f>
        <v>372</v>
      </c>
    </row>
    <row r="7" spans="1:31" x14ac:dyDescent="0.2">
      <c r="A7" s="538" t="s">
        <v>297</v>
      </c>
      <c r="B7" s="547">
        <f>SUM(C7:N7)</f>
        <v>150</v>
      </c>
      <c r="C7" s="541"/>
      <c r="D7" s="299"/>
      <c r="E7" s="299">
        <v>15</v>
      </c>
      <c r="F7" s="299">
        <f>E7</f>
        <v>15</v>
      </c>
      <c r="G7" s="299">
        <f t="shared" ref="G7:N7" si="2">F7</f>
        <v>15</v>
      </c>
      <c r="H7" s="299">
        <f t="shared" si="2"/>
        <v>15</v>
      </c>
      <c r="I7" s="299">
        <f t="shared" si="2"/>
        <v>15</v>
      </c>
      <c r="J7" s="299">
        <f t="shared" si="2"/>
        <v>15</v>
      </c>
      <c r="K7" s="299">
        <f t="shared" si="2"/>
        <v>15</v>
      </c>
      <c r="L7" s="299">
        <f t="shared" si="2"/>
        <v>15</v>
      </c>
      <c r="M7" s="299">
        <f t="shared" si="2"/>
        <v>15</v>
      </c>
      <c r="N7" s="300">
        <f t="shared" si="2"/>
        <v>15</v>
      </c>
      <c r="P7" s="793">
        <f>B7/(B16+B18)</f>
        <v>0.10551305724083355</v>
      </c>
    </row>
    <row r="8" spans="1:31" x14ac:dyDescent="0.2">
      <c r="A8" s="538" t="s">
        <v>298</v>
      </c>
      <c r="B8" s="547">
        <f>SUM(C8:N8)</f>
        <v>5</v>
      </c>
      <c r="C8" s="541"/>
      <c r="D8" s="299"/>
      <c r="E8" s="299">
        <v>5</v>
      </c>
      <c r="F8" s="299"/>
      <c r="G8" s="299"/>
      <c r="H8" s="299"/>
      <c r="I8" s="299"/>
      <c r="J8" s="299"/>
      <c r="K8" s="299"/>
      <c r="L8" s="299"/>
      <c r="M8" s="299"/>
      <c r="N8" s="300"/>
      <c r="P8" s="793">
        <f>B8/(B16+B18)</f>
        <v>3.5171019080277852E-3</v>
      </c>
      <c r="T8">
        <v>81</v>
      </c>
    </row>
    <row r="9" spans="1:31" x14ac:dyDescent="0.2">
      <c r="A9" s="538" t="s">
        <v>487</v>
      </c>
      <c r="B9" s="547"/>
      <c r="C9" s="542">
        <f>Trnsf!D4</f>
        <v>0</v>
      </c>
      <c r="D9" s="531">
        <f>Trnsf!E4</f>
        <v>0</v>
      </c>
      <c r="E9" s="531">
        <f>Trnsf!F4</f>
        <v>0</v>
      </c>
      <c r="F9" s="531">
        <f>Trnsf!G4</f>
        <v>0</v>
      </c>
      <c r="G9" s="531">
        <f>Trnsf!H4</f>
        <v>0</v>
      </c>
      <c r="H9" s="531">
        <f>Trnsf!I4</f>
        <v>0</v>
      </c>
      <c r="I9" s="531">
        <f>Trnsf!J4</f>
        <v>0</v>
      </c>
      <c r="J9" s="531">
        <f>Trnsf!K4</f>
        <v>0</v>
      </c>
      <c r="K9" s="531">
        <f>Trnsf!L4</f>
        <v>0</v>
      </c>
      <c r="L9" s="531">
        <f>Trnsf!M4</f>
        <v>0</v>
      </c>
      <c r="M9" s="531">
        <f>Trnsf!N4</f>
        <v>0</v>
      </c>
      <c r="N9" s="532">
        <f>Trnsf!O4</f>
        <v>0</v>
      </c>
      <c r="P9" s="533"/>
    </row>
    <row r="10" spans="1:31" x14ac:dyDescent="0.2">
      <c r="A10" s="538" t="s">
        <v>299</v>
      </c>
      <c r="B10" s="547"/>
      <c r="C10" s="542">
        <f>SUM(C3:C5,C9)-SUM(C6:C8)</f>
        <v>1230</v>
      </c>
      <c r="D10" s="531">
        <f t="shared" ref="D10:N10" si="3">SUM(D3:D5,D9)-SUM(D6:D8)</f>
        <v>1230</v>
      </c>
      <c r="E10" s="531">
        <f t="shared" si="3"/>
        <v>1178</v>
      </c>
      <c r="F10" s="531">
        <f>SUM(F3:F5,F9)-SUM(F6:F8)</f>
        <v>1281</v>
      </c>
      <c r="G10" s="531">
        <f t="shared" si="3"/>
        <v>1432</v>
      </c>
      <c r="H10" s="531">
        <f t="shared" si="3"/>
        <v>1417</v>
      </c>
      <c r="I10" s="531">
        <f t="shared" si="3"/>
        <v>1402</v>
      </c>
      <c r="J10" s="531">
        <f t="shared" si="3"/>
        <v>1387</v>
      </c>
      <c r="K10" s="531">
        <f t="shared" si="3"/>
        <v>1372</v>
      </c>
      <c r="L10" s="531">
        <f t="shared" si="3"/>
        <v>1357</v>
      </c>
      <c r="M10" s="531">
        <f t="shared" si="3"/>
        <v>1342</v>
      </c>
      <c r="N10" s="532">
        <f t="shared" si="3"/>
        <v>1327</v>
      </c>
      <c r="P10" s="794">
        <f>SUM(C7:I8)</f>
        <v>80</v>
      </c>
    </row>
    <row r="11" spans="1:31" x14ac:dyDescent="0.2">
      <c r="A11" s="538"/>
      <c r="B11" s="547"/>
      <c r="C11" s="541"/>
      <c r="D11" s="299"/>
      <c r="E11" s="299"/>
      <c r="F11" s="299"/>
      <c r="G11" s="299"/>
      <c r="H11" s="299"/>
      <c r="I11" s="299"/>
      <c r="J11" s="299"/>
      <c r="K11" s="299"/>
      <c r="L11" s="299"/>
      <c r="M11" s="299"/>
      <c r="N11" s="300"/>
      <c r="P11">
        <f>SUM(G5:I5)</f>
        <v>116</v>
      </c>
    </row>
    <row r="12" spans="1:31" x14ac:dyDescent="0.2">
      <c r="A12" s="538" t="s">
        <v>300</v>
      </c>
      <c r="B12" s="547"/>
      <c r="C12" s="541">
        <v>136</v>
      </c>
      <c r="D12" s="531">
        <f>C15</f>
        <v>136</v>
      </c>
      <c r="E12" s="531">
        <f t="shared" ref="E12:N12" si="4">D15</f>
        <v>136</v>
      </c>
      <c r="F12" s="531">
        <f t="shared" si="4"/>
        <v>168</v>
      </c>
      <c r="G12" s="531">
        <f t="shared" si="4"/>
        <v>120</v>
      </c>
      <c r="H12" s="531">
        <f t="shared" si="4"/>
        <v>70</v>
      </c>
      <c r="I12" s="531">
        <f t="shared" si="4"/>
        <v>70</v>
      </c>
      <c r="J12" s="531">
        <f t="shared" si="4"/>
        <v>70</v>
      </c>
      <c r="K12" s="531">
        <f t="shared" si="4"/>
        <v>70</v>
      </c>
      <c r="L12" s="531">
        <f t="shared" si="4"/>
        <v>70</v>
      </c>
      <c r="M12" s="531">
        <f t="shared" si="4"/>
        <v>70</v>
      </c>
      <c r="N12" s="532">
        <f t="shared" si="4"/>
        <v>70</v>
      </c>
      <c r="P12" s="794">
        <f>P11-P10</f>
        <v>36</v>
      </c>
    </row>
    <row r="13" spans="1:31" x14ac:dyDescent="0.2">
      <c r="A13" s="538" t="s">
        <v>301</v>
      </c>
      <c r="B13" s="547"/>
      <c r="C13" s="542">
        <f>-C4+C6</f>
        <v>0</v>
      </c>
      <c r="D13" s="531">
        <f>-D4+D6</f>
        <v>0</v>
      </c>
      <c r="E13" s="531">
        <f>-E4+E6</f>
        <v>32</v>
      </c>
      <c r="F13" s="531">
        <f>-F4+F6</f>
        <v>-48</v>
      </c>
      <c r="G13" s="531">
        <f t="shared" ref="G13:N13" si="5">-G4+G6</f>
        <v>-50</v>
      </c>
      <c r="H13" s="531">
        <f t="shared" si="5"/>
        <v>0</v>
      </c>
      <c r="I13" s="531">
        <f t="shared" si="5"/>
        <v>0</v>
      </c>
      <c r="J13" s="531">
        <f t="shared" si="5"/>
        <v>0</v>
      </c>
      <c r="K13" s="531">
        <f t="shared" si="5"/>
        <v>0</v>
      </c>
      <c r="L13" s="531">
        <f t="shared" si="5"/>
        <v>0</v>
      </c>
      <c r="M13" s="531">
        <f t="shared" si="5"/>
        <v>0</v>
      </c>
      <c r="N13" s="532">
        <f t="shared" si="5"/>
        <v>0</v>
      </c>
      <c r="R13" t="s">
        <v>10</v>
      </c>
      <c r="S13" t="s">
        <v>11</v>
      </c>
      <c r="T13" t="s">
        <v>12</v>
      </c>
      <c r="U13" t="s">
        <v>13</v>
      </c>
      <c r="V13" t="s">
        <v>2</v>
      </c>
      <c r="W13" t="s">
        <v>3</v>
      </c>
      <c r="X13" t="s">
        <v>4</v>
      </c>
      <c r="Y13" t="s">
        <v>5</v>
      </c>
      <c r="Z13" t="s">
        <v>6</v>
      </c>
      <c r="AA13" t="s">
        <v>7</v>
      </c>
      <c r="AB13" t="s">
        <v>8</v>
      </c>
      <c r="AC13" t="s">
        <v>9</v>
      </c>
    </row>
    <row r="14" spans="1:31" x14ac:dyDescent="0.2">
      <c r="A14" s="538" t="s">
        <v>487</v>
      </c>
      <c r="B14" s="547"/>
      <c r="C14" s="542">
        <f>Trnsf!D5</f>
        <v>0</v>
      </c>
      <c r="D14" s="531">
        <f>Trnsf!E5</f>
        <v>0</v>
      </c>
      <c r="E14" s="531">
        <f>Trnsf!F5</f>
        <v>0</v>
      </c>
      <c r="F14" s="531">
        <f>Trnsf!G5</f>
        <v>0</v>
      </c>
      <c r="G14" s="531">
        <f>Trnsf!H5</f>
        <v>0</v>
      </c>
      <c r="H14" s="531">
        <f>Trnsf!I5</f>
        <v>0</v>
      </c>
      <c r="I14" s="531">
        <f>Trnsf!J5</f>
        <v>0</v>
      </c>
      <c r="J14" s="531">
        <f>Trnsf!K5</f>
        <v>0</v>
      </c>
      <c r="K14" s="531">
        <f>Trnsf!L5</f>
        <v>0</v>
      </c>
      <c r="L14" s="531">
        <f>Trnsf!M5</f>
        <v>0</v>
      </c>
      <c r="M14" s="531">
        <f>Trnsf!N5</f>
        <v>0</v>
      </c>
      <c r="N14" s="532">
        <f>Trnsf!O5</f>
        <v>0</v>
      </c>
      <c r="Q14" t="s">
        <v>527</v>
      </c>
      <c r="R14" s="628">
        <v>16</v>
      </c>
      <c r="S14" s="628">
        <v>17.5</v>
      </c>
      <c r="T14" s="628">
        <v>19</v>
      </c>
      <c r="U14" s="628">
        <v>21.5</v>
      </c>
      <c r="V14" s="628">
        <v>21.5</v>
      </c>
      <c r="W14" s="628">
        <v>20</v>
      </c>
      <c r="X14" s="628">
        <v>18.5</v>
      </c>
      <c r="Y14" s="628">
        <v>17.2</v>
      </c>
      <c r="Z14" s="628">
        <v>16</v>
      </c>
      <c r="AA14" s="628">
        <v>14.8</v>
      </c>
      <c r="AB14" s="628">
        <v>13.5</v>
      </c>
      <c r="AC14" s="628">
        <v>12.5</v>
      </c>
      <c r="AD14" s="628">
        <f>AVERAGE(R14:AC14)</f>
        <v>17.333333333333332</v>
      </c>
      <c r="AE14">
        <f>AD14*300</f>
        <v>5200</v>
      </c>
    </row>
    <row r="15" spans="1:31" x14ac:dyDescent="0.2">
      <c r="A15" s="538" t="s">
        <v>302</v>
      </c>
      <c r="B15" s="547"/>
      <c r="C15" s="542">
        <f>C12+C13+C14</f>
        <v>136</v>
      </c>
      <c r="D15" s="531">
        <f t="shared" ref="D15:N15" si="6">D12+D13+D14</f>
        <v>136</v>
      </c>
      <c r="E15" s="531">
        <f t="shared" si="6"/>
        <v>168</v>
      </c>
      <c r="F15" s="531">
        <f t="shared" si="6"/>
        <v>120</v>
      </c>
      <c r="G15" s="531">
        <f t="shared" si="6"/>
        <v>70</v>
      </c>
      <c r="H15" s="531">
        <f t="shared" si="6"/>
        <v>70</v>
      </c>
      <c r="I15" s="531">
        <f t="shared" si="6"/>
        <v>70</v>
      </c>
      <c r="J15" s="531">
        <f t="shared" si="6"/>
        <v>70</v>
      </c>
      <c r="K15" s="531">
        <f t="shared" si="6"/>
        <v>70</v>
      </c>
      <c r="L15" s="531">
        <f t="shared" si="6"/>
        <v>70</v>
      </c>
      <c r="M15" s="531">
        <f t="shared" si="6"/>
        <v>70</v>
      </c>
      <c r="N15" s="532">
        <f t="shared" si="6"/>
        <v>70</v>
      </c>
      <c r="R15">
        <f>R37</f>
        <v>5</v>
      </c>
      <c r="S15">
        <f t="shared" ref="S15:AC15" si="7">S37</f>
        <v>3</v>
      </c>
      <c r="T15">
        <f t="shared" si="7"/>
        <v>39</v>
      </c>
      <c r="U15">
        <f t="shared" si="7"/>
        <v>85</v>
      </c>
      <c r="V15">
        <f t="shared" si="7"/>
        <v>83</v>
      </c>
      <c r="W15">
        <f t="shared" si="7"/>
        <v>81</v>
      </c>
      <c r="X15">
        <f t="shared" si="7"/>
        <v>79</v>
      </c>
      <c r="Y15">
        <f t="shared" si="7"/>
        <v>77</v>
      </c>
      <c r="Z15">
        <f t="shared" si="7"/>
        <v>75</v>
      </c>
      <c r="AA15">
        <f t="shared" si="7"/>
        <v>73</v>
      </c>
      <c r="AB15">
        <f t="shared" si="7"/>
        <v>-111</v>
      </c>
      <c r="AC15">
        <f t="shared" si="7"/>
        <v>-355</v>
      </c>
    </row>
    <row r="16" spans="1:31" x14ac:dyDescent="0.2">
      <c r="A16" s="538" t="s">
        <v>303</v>
      </c>
      <c r="B16" s="547">
        <f>AVERAGE(C16:N16)</f>
        <v>96.083333333333329</v>
      </c>
      <c r="C16" s="542">
        <f>(C12+C15)/2</f>
        <v>136</v>
      </c>
      <c r="D16" s="531">
        <f t="shared" ref="D16:N16" si="8">(D12+D15)/2</f>
        <v>136</v>
      </c>
      <c r="E16" s="531">
        <f t="shared" si="8"/>
        <v>152</v>
      </c>
      <c r="F16" s="531">
        <f t="shared" si="8"/>
        <v>144</v>
      </c>
      <c r="G16" s="531">
        <f t="shared" si="8"/>
        <v>95</v>
      </c>
      <c r="H16" s="531">
        <f t="shared" si="8"/>
        <v>70</v>
      </c>
      <c r="I16" s="531">
        <f t="shared" si="8"/>
        <v>70</v>
      </c>
      <c r="J16" s="531">
        <f t="shared" si="8"/>
        <v>70</v>
      </c>
      <c r="K16" s="531">
        <f t="shared" si="8"/>
        <v>70</v>
      </c>
      <c r="L16" s="531">
        <f t="shared" si="8"/>
        <v>70</v>
      </c>
      <c r="M16" s="531">
        <f t="shared" si="8"/>
        <v>70</v>
      </c>
      <c r="N16" s="532">
        <f t="shared" si="8"/>
        <v>70</v>
      </c>
      <c r="Q16" t="s">
        <v>528</v>
      </c>
      <c r="R16" s="628">
        <v>16</v>
      </c>
      <c r="S16" s="628">
        <v>15</v>
      </c>
      <c r="T16" s="628">
        <v>13.5</v>
      </c>
      <c r="U16" s="628">
        <v>12.9</v>
      </c>
      <c r="V16" s="628">
        <v>16</v>
      </c>
      <c r="W16" s="628">
        <v>19</v>
      </c>
      <c r="X16" s="628">
        <v>21.5</v>
      </c>
      <c r="Y16" s="628">
        <v>22</v>
      </c>
      <c r="Z16" s="628">
        <v>21.5</v>
      </c>
      <c r="AA16" s="628">
        <v>20</v>
      </c>
      <c r="AB16" s="628">
        <v>18.5</v>
      </c>
      <c r="AC16" s="628">
        <v>17.2</v>
      </c>
      <c r="AD16" s="628">
        <f>AVERAGE(R16:AC16)</f>
        <v>17.758333333333333</v>
      </c>
      <c r="AE16">
        <f>AD16*300</f>
        <v>5327.5</v>
      </c>
    </row>
    <row r="17" spans="1:31" x14ac:dyDescent="0.2">
      <c r="A17" s="538"/>
      <c r="B17" s="547"/>
      <c r="C17" s="541"/>
      <c r="D17" s="299"/>
      <c r="E17" s="299"/>
      <c r="F17" s="299"/>
      <c r="G17" s="299"/>
      <c r="H17" s="299"/>
      <c r="I17" s="299"/>
      <c r="J17" s="299"/>
      <c r="K17" s="299"/>
      <c r="L17" s="299"/>
      <c r="M17" s="299"/>
      <c r="N17" s="300"/>
      <c r="R17">
        <f>R30</f>
        <v>1089</v>
      </c>
      <c r="S17">
        <f t="shared" ref="S17:AC17" si="9">S30</f>
        <v>1087</v>
      </c>
      <c r="T17">
        <f t="shared" si="9"/>
        <v>1000</v>
      </c>
      <c r="U17">
        <f t="shared" si="9"/>
        <v>983</v>
      </c>
      <c r="V17">
        <f t="shared" si="9"/>
        <v>1147</v>
      </c>
      <c r="W17">
        <f t="shared" si="9"/>
        <v>1145</v>
      </c>
      <c r="X17">
        <f t="shared" si="9"/>
        <v>1143</v>
      </c>
      <c r="Y17">
        <f t="shared" si="9"/>
        <v>1141</v>
      </c>
      <c r="Z17">
        <f t="shared" si="9"/>
        <v>1139</v>
      </c>
      <c r="AA17">
        <f t="shared" si="9"/>
        <v>1137</v>
      </c>
      <c r="AB17">
        <f t="shared" si="9"/>
        <v>1135</v>
      </c>
      <c r="AC17">
        <f t="shared" si="9"/>
        <v>1133</v>
      </c>
    </row>
    <row r="18" spans="1:31" x14ac:dyDescent="0.2">
      <c r="A18" s="538" t="s">
        <v>304</v>
      </c>
      <c r="B18" s="547">
        <f>AVERAGE(C18:N18)</f>
        <v>1325.5416666666667</v>
      </c>
      <c r="C18" s="542">
        <f>(C3+C10)/2</f>
        <v>1230</v>
      </c>
      <c r="D18" s="531">
        <f t="shared" ref="D18:N18" si="10">(D3+D10)/2</f>
        <v>1230</v>
      </c>
      <c r="E18" s="531">
        <f t="shared" si="10"/>
        <v>1204</v>
      </c>
      <c r="F18" s="531">
        <f t="shared" si="10"/>
        <v>1229.5</v>
      </c>
      <c r="G18" s="531">
        <f t="shared" si="10"/>
        <v>1356.5</v>
      </c>
      <c r="H18" s="531">
        <f t="shared" si="10"/>
        <v>1424.5</v>
      </c>
      <c r="I18" s="531">
        <f t="shared" si="10"/>
        <v>1409.5</v>
      </c>
      <c r="J18" s="531">
        <f t="shared" si="10"/>
        <v>1394.5</v>
      </c>
      <c r="K18" s="531">
        <f t="shared" si="10"/>
        <v>1379.5</v>
      </c>
      <c r="L18" s="531">
        <f t="shared" si="10"/>
        <v>1364.5</v>
      </c>
      <c r="M18" s="531">
        <f t="shared" si="10"/>
        <v>1349.5</v>
      </c>
      <c r="N18" s="532">
        <f t="shared" si="10"/>
        <v>1334.5</v>
      </c>
      <c r="P18">
        <v>4113759</v>
      </c>
      <c r="R18">
        <f>R14*R15+R16*R17</f>
        <v>17504</v>
      </c>
      <c r="S18">
        <f t="shared" ref="S18:AC18" si="11">S14*S15+S16*S17</f>
        <v>16357.5</v>
      </c>
      <c r="T18">
        <f t="shared" si="11"/>
        <v>14241</v>
      </c>
      <c r="U18">
        <f t="shared" si="11"/>
        <v>14508.2</v>
      </c>
      <c r="V18">
        <f t="shared" si="11"/>
        <v>20136.5</v>
      </c>
      <c r="W18">
        <f t="shared" si="11"/>
        <v>23375</v>
      </c>
      <c r="X18">
        <f t="shared" si="11"/>
        <v>26036</v>
      </c>
      <c r="Y18">
        <f t="shared" si="11"/>
        <v>26426.400000000001</v>
      </c>
      <c r="Z18">
        <f t="shared" si="11"/>
        <v>25688.5</v>
      </c>
      <c r="AA18">
        <f t="shared" si="11"/>
        <v>23820.400000000001</v>
      </c>
      <c r="AB18">
        <f t="shared" si="11"/>
        <v>19499</v>
      </c>
      <c r="AC18">
        <f t="shared" si="11"/>
        <v>15050.099999999999</v>
      </c>
    </row>
    <row r="19" spans="1:31" x14ac:dyDescent="0.2">
      <c r="A19" s="538" t="s">
        <v>305</v>
      </c>
      <c r="B19" s="629">
        <f>AVERAGE(C19:N19)</f>
        <v>19</v>
      </c>
      <c r="C19" s="824">
        <v>19</v>
      </c>
      <c r="D19" s="825">
        <f>C19</f>
        <v>19</v>
      </c>
      <c r="E19" s="825">
        <f t="shared" ref="E19:N19" si="12">D19</f>
        <v>19</v>
      </c>
      <c r="F19" s="825">
        <f t="shared" si="12"/>
        <v>19</v>
      </c>
      <c r="G19" s="825">
        <f t="shared" si="12"/>
        <v>19</v>
      </c>
      <c r="H19" s="825">
        <f t="shared" si="12"/>
        <v>19</v>
      </c>
      <c r="I19" s="825">
        <f t="shared" si="12"/>
        <v>19</v>
      </c>
      <c r="J19" s="825">
        <f t="shared" si="12"/>
        <v>19</v>
      </c>
      <c r="K19" s="825">
        <f t="shared" si="12"/>
        <v>19</v>
      </c>
      <c r="L19" s="825">
        <f t="shared" si="12"/>
        <v>19</v>
      </c>
      <c r="M19" s="825">
        <f t="shared" si="12"/>
        <v>19</v>
      </c>
      <c r="N19" s="826">
        <f t="shared" si="12"/>
        <v>19</v>
      </c>
      <c r="P19">
        <v>799</v>
      </c>
      <c r="Q19" s="778"/>
      <c r="R19">
        <f>R15+R17</f>
        <v>1094</v>
      </c>
      <c r="S19">
        <f t="shared" ref="S19:AC19" si="13">S15+S17</f>
        <v>1090</v>
      </c>
      <c r="T19">
        <f t="shared" si="13"/>
        <v>1039</v>
      </c>
      <c r="U19">
        <f t="shared" si="13"/>
        <v>1068</v>
      </c>
      <c r="V19">
        <f t="shared" si="13"/>
        <v>1230</v>
      </c>
      <c r="W19">
        <f t="shared" si="13"/>
        <v>1226</v>
      </c>
      <c r="X19">
        <f t="shared" si="13"/>
        <v>1222</v>
      </c>
      <c r="Y19">
        <f t="shared" si="13"/>
        <v>1218</v>
      </c>
      <c r="Z19">
        <f t="shared" si="13"/>
        <v>1214</v>
      </c>
      <c r="AA19">
        <f t="shared" si="13"/>
        <v>1210</v>
      </c>
      <c r="AB19">
        <f t="shared" si="13"/>
        <v>1024</v>
      </c>
      <c r="AC19">
        <f t="shared" si="13"/>
        <v>778</v>
      </c>
    </row>
    <row r="20" spans="1:31" x14ac:dyDescent="0.2">
      <c r="A20" s="538" t="s">
        <v>306</v>
      </c>
      <c r="B20" s="547">
        <f>SUM(C20:N20)</f>
        <v>9193140.5</v>
      </c>
      <c r="C20" s="542">
        <f>C18*C19*'P1 Bal'!E12</f>
        <v>724470</v>
      </c>
      <c r="D20" s="531">
        <f>D18*D19*'P1 Bal'!F12</f>
        <v>701100</v>
      </c>
      <c r="E20" s="531">
        <f>E18*E19*'P1 Bal'!G12</f>
        <v>709156</v>
      </c>
      <c r="F20" s="531">
        <f>F18*F19*'P1 Bal'!H12</f>
        <v>700815</v>
      </c>
      <c r="G20" s="531">
        <f>G18*G19*'P1 Bal'!I12</f>
        <v>798978.5</v>
      </c>
      <c r="H20" s="531">
        <f>H18*H19*'P1 Bal'!J12</f>
        <v>839030.5</v>
      </c>
      <c r="I20" s="531">
        <f>I18*I19*'P1 Bal'!K12</f>
        <v>803415</v>
      </c>
      <c r="J20" s="531">
        <f>J18*J19*'P1 Bal'!L12</f>
        <v>821360.5</v>
      </c>
      <c r="K20" s="531">
        <f>K18*K19*'P1 Bal'!M12</f>
        <v>786315</v>
      </c>
      <c r="L20" s="531">
        <f>L18*L19*'P1 Bal'!N12</f>
        <v>803690.5</v>
      </c>
      <c r="M20" s="531">
        <f>M18*M19*'P1 Bal'!O12</f>
        <v>794855.5</v>
      </c>
      <c r="N20" s="532">
        <f>N18*N19*'P1 Bal'!P12</f>
        <v>709954</v>
      </c>
      <c r="O20">
        <f>B20/(B18+B16)</f>
        <v>6466.6423986635009</v>
      </c>
      <c r="P20">
        <f>P18/P19</f>
        <v>5148.6345431789741</v>
      </c>
      <c r="R20" s="628">
        <f>R18/R19</f>
        <v>16</v>
      </c>
      <c r="S20" s="628">
        <f t="shared" ref="S20:AC20" si="14">S18/S19</f>
        <v>15.006880733944953</v>
      </c>
      <c r="T20" s="628">
        <f t="shared" si="14"/>
        <v>13.706448508180943</v>
      </c>
      <c r="U20" s="628">
        <f t="shared" si="14"/>
        <v>13.584456928838952</v>
      </c>
      <c r="V20" s="628">
        <f t="shared" si="14"/>
        <v>16.371138211382114</v>
      </c>
      <c r="W20" s="628">
        <f t="shared" si="14"/>
        <v>19.066068515497552</v>
      </c>
      <c r="X20" s="628">
        <f t="shared" si="14"/>
        <v>21.306055646481177</v>
      </c>
      <c r="Y20" s="628">
        <f t="shared" si="14"/>
        <v>21.696551724137933</v>
      </c>
      <c r="Z20" s="628">
        <f t="shared" si="14"/>
        <v>21.160214168039538</v>
      </c>
      <c r="AA20" s="628">
        <f t="shared" si="14"/>
        <v>19.68628099173554</v>
      </c>
      <c r="AB20" s="628">
        <f t="shared" si="14"/>
        <v>19.0419921875</v>
      </c>
      <c r="AC20" s="628">
        <f t="shared" si="14"/>
        <v>19.344601542416452</v>
      </c>
      <c r="AD20" s="628">
        <f>AVERAGE(R20:AC20)</f>
        <v>17.997557429846264</v>
      </c>
      <c r="AE20" s="628">
        <f>AD20*300</f>
        <v>5399.2672289538796</v>
      </c>
    </row>
    <row r="21" spans="1:31" x14ac:dyDescent="0.2">
      <c r="A21" s="538" t="s">
        <v>563</v>
      </c>
      <c r="B21" s="547">
        <v>0</v>
      </c>
      <c r="C21" s="542">
        <f>$B$21*'P1 MF'!C26</f>
        <v>0</v>
      </c>
      <c r="D21" s="531">
        <f>$B$21*'P1 MF'!D26</f>
        <v>0</v>
      </c>
      <c r="E21" s="531">
        <f>$B$21*'P1 MF'!E26</f>
        <v>0</v>
      </c>
      <c r="F21" s="531">
        <f>$B$21*'P1 MF'!F26</f>
        <v>0</v>
      </c>
      <c r="G21" s="531">
        <f>$B$21*'P1 MF'!G26</f>
        <v>0</v>
      </c>
      <c r="H21" s="531">
        <f>$B$21*'P1 MF'!H26</f>
        <v>0</v>
      </c>
      <c r="I21" s="531">
        <f>$B$21*'P1 MF'!I26</f>
        <v>0</v>
      </c>
      <c r="J21" s="531">
        <f>$B$21*'P1 MF'!J26</f>
        <v>0</v>
      </c>
      <c r="K21" s="531">
        <f>$B$21*'P1 MF'!K26</f>
        <v>0</v>
      </c>
      <c r="L21" s="531">
        <f>$B$21*'P1 MF'!L26</f>
        <v>0</v>
      </c>
      <c r="M21" s="531">
        <f>$B$21*'P1 MF'!M26</f>
        <v>0</v>
      </c>
      <c r="N21" s="532">
        <f>$B$21*'P1 MF'!N26</f>
        <v>0</v>
      </c>
      <c r="O21">
        <f>SUM(C21:N21)</f>
        <v>0</v>
      </c>
      <c r="R21" s="628"/>
      <c r="S21" s="628"/>
      <c r="T21" s="628"/>
      <c r="U21" s="628"/>
      <c r="V21" s="628"/>
      <c r="W21" s="628"/>
      <c r="X21" s="628"/>
      <c r="Y21" s="628"/>
      <c r="Z21" s="628"/>
      <c r="AA21" s="628"/>
      <c r="AB21" s="628"/>
      <c r="AC21" s="628"/>
      <c r="AD21" s="628"/>
      <c r="AE21" s="628"/>
    </row>
    <row r="22" spans="1:31" x14ac:dyDescent="0.2">
      <c r="A22" s="538" t="s">
        <v>564</v>
      </c>
      <c r="B22" s="547">
        <v>4</v>
      </c>
      <c r="C22" s="542">
        <f>C31*$B$22*'P1 MF'!C26</f>
        <v>0</v>
      </c>
      <c r="D22" s="531">
        <f>D31*$B$22*'P1 MF'!D26</f>
        <v>0</v>
      </c>
      <c r="E22" s="531">
        <f>E31*$B$22*'P1 MF'!E26</f>
        <v>1884.8000000000002</v>
      </c>
      <c r="F22" s="531">
        <f>F31*$B$22*'P1 MF'!F26</f>
        <v>7488.0000000000009</v>
      </c>
      <c r="G22" s="531">
        <f>G31*$B$22*'P1 MF'!G26</f>
        <v>15028.800000000003</v>
      </c>
      <c r="H22" s="531">
        <f>H31*$B$22*'P1 MF'!H26</f>
        <v>11160</v>
      </c>
      <c r="I22" s="531">
        <f>I31*$B$22*'P1 MF'!I26</f>
        <v>3984.0000000000005</v>
      </c>
      <c r="J22" s="531">
        <f>J31*$B$22*'P1 MF'!J26</f>
        <v>0</v>
      </c>
      <c r="K22" s="531">
        <f>K31*$B$22*'P1 MF'!K26</f>
        <v>0</v>
      </c>
      <c r="L22" s="531">
        <f>L31*$B$22*'P1 MF'!L26</f>
        <v>0</v>
      </c>
      <c r="M22" s="531">
        <f>M31*$B$22*'P1 MF'!M26</f>
        <v>0</v>
      </c>
      <c r="N22" s="532">
        <f>N31*$B$22*'P1 MF'!N26</f>
        <v>0</v>
      </c>
      <c r="O22">
        <f>SUM(C22:N22)</f>
        <v>39545.600000000006</v>
      </c>
      <c r="R22" s="628"/>
      <c r="S22" s="628"/>
      <c r="T22" s="628"/>
      <c r="U22" s="628"/>
      <c r="V22" s="628"/>
      <c r="W22" s="628"/>
      <c r="X22" s="628"/>
      <c r="Y22" s="628"/>
      <c r="Z22" s="628"/>
      <c r="AA22" s="628"/>
      <c r="AB22" s="628"/>
      <c r="AC22" s="628"/>
      <c r="AD22" s="628"/>
      <c r="AE22" s="628"/>
    </row>
    <row r="23" spans="1:31" x14ac:dyDescent="0.2">
      <c r="A23" s="538" t="s">
        <v>565</v>
      </c>
      <c r="B23" s="547">
        <f>SUM(C23:N23)</f>
        <v>9153594.9000000004</v>
      </c>
      <c r="C23" s="542">
        <f>C20-C21-C22</f>
        <v>724470</v>
      </c>
      <c r="D23" s="531">
        <f t="shared" ref="D23:N23" si="15">D20-D21-D22</f>
        <v>701100</v>
      </c>
      <c r="E23" s="531">
        <f t="shared" si="15"/>
        <v>707271.2</v>
      </c>
      <c r="F23" s="531">
        <f t="shared" si="15"/>
        <v>693327</v>
      </c>
      <c r="G23" s="531">
        <f t="shared" si="15"/>
        <v>783949.7</v>
      </c>
      <c r="H23" s="531">
        <f t="shared" si="15"/>
        <v>827870.5</v>
      </c>
      <c r="I23" s="531">
        <f t="shared" si="15"/>
        <v>799431</v>
      </c>
      <c r="J23" s="531">
        <f t="shared" si="15"/>
        <v>821360.5</v>
      </c>
      <c r="K23" s="531">
        <f t="shared" si="15"/>
        <v>786315</v>
      </c>
      <c r="L23" s="531">
        <f t="shared" si="15"/>
        <v>803690.5</v>
      </c>
      <c r="M23" s="531">
        <f t="shared" si="15"/>
        <v>794855.5</v>
      </c>
      <c r="N23" s="532">
        <f t="shared" si="15"/>
        <v>709954</v>
      </c>
      <c r="O23">
        <f>B23/(B18+B16)</f>
        <v>6438.8252176206806</v>
      </c>
      <c r="R23" s="628"/>
      <c r="S23" s="628"/>
      <c r="T23" s="628"/>
      <c r="U23" s="628"/>
      <c r="V23" s="628"/>
      <c r="W23" s="628"/>
      <c r="X23" s="628"/>
      <c r="Y23" s="628"/>
      <c r="Z23" s="628"/>
      <c r="AA23" s="628"/>
      <c r="AB23" s="628"/>
      <c r="AC23" s="628"/>
      <c r="AD23" s="628"/>
      <c r="AE23" s="628"/>
    </row>
    <row r="24" spans="1:31" x14ac:dyDescent="0.2">
      <c r="A24" s="538"/>
      <c r="B24" s="547">
        <f>B23/(B16+B18)</f>
        <v>6438.8252176206806</v>
      </c>
      <c r="C24" s="541"/>
      <c r="D24" s="299"/>
      <c r="E24" s="299"/>
      <c r="F24" s="299"/>
      <c r="G24" s="299"/>
      <c r="H24" s="299"/>
      <c r="I24" s="299"/>
      <c r="J24" s="299"/>
      <c r="K24" s="299"/>
      <c r="L24" s="299"/>
      <c r="M24" s="299"/>
      <c r="N24" s="300"/>
    </row>
    <row r="25" spans="1:31" x14ac:dyDescent="0.2">
      <c r="A25" s="538" t="s">
        <v>307</v>
      </c>
      <c r="B25" s="547"/>
      <c r="C25" s="541"/>
      <c r="D25" s="299"/>
      <c r="E25" s="299"/>
      <c r="F25" s="299"/>
      <c r="G25" s="299"/>
      <c r="H25" s="299"/>
      <c r="I25" s="299"/>
      <c r="J25" s="299"/>
      <c r="K25" s="299"/>
      <c r="L25" s="299"/>
      <c r="M25" s="299"/>
      <c r="N25" s="300"/>
      <c r="Q25" t="s">
        <v>528</v>
      </c>
      <c r="R25">
        <f>1091</f>
        <v>1091</v>
      </c>
      <c r="S25">
        <f>R30</f>
        <v>1089</v>
      </c>
      <c r="T25">
        <f t="shared" ref="T25:AC25" si="16">S30</f>
        <v>1087</v>
      </c>
      <c r="U25">
        <f t="shared" si="16"/>
        <v>1000</v>
      </c>
      <c r="V25">
        <f t="shared" si="16"/>
        <v>983</v>
      </c>
      <c r="W25">
        <f t="shared" si="16"/>
        <v>1147</v>
      </c>
      <c r="X25">
        <f t="shared" si="16"/>
        <v>1145</v>
      </c>
      <c r="Y25">
        <f t="shared" si="16"/>
        <v>1143</v>
      </c>
      <c r="Z25">
        <f t="shared" si="16"/>
        <v>1141</v>
      </c>
      <c r="AA25">
        <f t="shared" si="16"/>
        <v>1139</v>
      </c>
      <c r="AB25">
        <f t="shared" si="16"/>
        <v>1137</v>
      </c>
      <c r="AC25">
        <f t="shared" si="16"/>
        <v>1135</v>
      </c>
    </row>
    <row r="26" spans="1:31" x14ac:dyDescent="0.2">
      <c r="A26" s="538" t="s">
        <v>308</v>
      </c>
      <c r="B26" s="548">
        <v>550</v>
      </c>
      <c r="C26" s="543">
        <f t="shared" ref="C26:N26" si="17">$B$26/100+1</f>
        <v>6.5</v>
      </c>
      <c r="D26" s="534">
        <f t="shared" si="17"/>
        <v>6.5</v>
      </c>
      <c r="E26" s="534">
        <f t="shared" si="17"/>
        <v>6.5</v>
      </c>
      <c r="F26" s="534">
        <f t="shared" si="17"/>
        <v>6.5</v>
      </c>
      <c r="G26" s="534">
        <f t="shared" si="17"/>
        <v>6.5</v>
      </c>
      <c r="H26" s="534">
        <f t="shared" si="17"/>
        <v>6.5</v>
      </c>
      <c r="I26" s="534">
        <f t="shared" si="17"/>
        <v>6.5</v>
      </c>
      <c r="J26" s="534">
        <f t="shared" si="17"/>
        <v>6.5</v>
      </c>
      <c r="K26" s="534">
        <f t="shared" si="17"/>
        <v>6.5</v>
      </c>
      <c r="L26" s="534">
        <f t="shared" si="17"/>
        <v>6.5</v>
      </c>
      <c r="M26" s="534">
        <f t="shared" si="17"/>
        <v>6.5</v>
      </c>
      <c r="N26" s="535">
        <f t="shared" si="17"/>
        <v>6.5</v>
      </c>
      <c r="Q26" t="s">
        <v>529</v>
      </c>
      <c r="V26">
        <f>G4+G5</f>
        <v>166</v>
      </c>
      <c r="W26">
        <f t="shared" ref="W26:X26" si="18">H4+H5</f>
        <v>0</v>
      </c>
      <c r="X26">
        <f t="shared" si="18"/>
        <v>0</v>
      </c>
    </row>
    <row r="27" spans="1:31" x14ac:dyDescent="0.2">
      <c r="A27" s="538" t="s">
        <v>309</v>
      </c>
      <c r="B27" s="547"/>
      <c r="C27" s="543">
        <f t="shared" ref="C27:N27" si="19">C19/2</f>
        <v>9.5</v>
      </c>
      <c r="D27" s="534">
        <f t="shared" si="19"/>
        <v>9.5</v>
      </c>
      <c r="E27" s="534">
        <f t="shared" si="19"/>
        <v>9.5</v>
      </c>
      <c r="F27" s="534">
        <f t="shared" si="19"/>
        <v>9.5</v>
      </c>
      <c r="G27" s="534">
        <f t="shared" si="19"/>
        <v>9.5</v>
      </c>
      <c r="H27" s="534">
        <f t="shared" si="19"/>
        <v>9.5</v>
      </c>
      <c r="I27" s="534">
        <f t="shared" si="19"/>
        <v>9.5</v>
      </c>
      <c r="J27" s="534">
        <f t="shared" si="19"/>
        <v>9.5</v>
      </c>
      <c r="K27" s="534">
        <f t="shared" si="19"/>
        <v>9.5</v>
      </c>
      <c r="L27" s="534">
        <f t="shared" si="19"/>
        <v>9.5</v>
      </c>
      <c r="M27" s="534">
        <f t="shared" si="19"/>
        <v>9.5</v>
      </c>
      <c r="N27" s="535">
        <f t="shared" si="19"/>
        <v>9.5</v>
      </c>
      <c r="Q27" t="s">
        <v>525</v>
      </c>
      <c r="T27">
        <f>E6</f>
        <v>70</v>
      </c>
      <c r="U27">
        <f t="shared" ref="U27:V27" si="20">F6</f>
        <v>0</v>
      </c>
      <c r="V27">
        <f t="shared" si="20"/>
        <v>0</v>
      </c>
    </row>
    <row r="28" spans="1:31" x14ac:dyDescent="0.2">
      <c r="A28" s="538" t="s">
        <v>438</v>
      </c>
      <c r="B28" s="547">
        <v>1</v>
      </c>
      <c r="C28" s="543">
        <f>B28</f>
        <v>1</v>
      </c>
      <c r="D28" s="534">
        <f t="shared" ref="D28:N28" si="21">C28</f>
        <v>1</v>
      </c>
      <c r="E28" s="534">
        <f t="shared" si="21"/>
        <v>1</v>
      </c>
      <c r="F28" s="534">
        <f t="shared" si="21"/>
        <v>1</v>
      </c>
      <c r="G28" s="534">
        <f t="shared" si="21"/>
        <v>1</v>
      </c>
      <c r="H28" s="534">
        <f t="shared" si="21"/>
        <v>1</v>
      </c>
      <c r="I28" s="534">
        <f t="shared" si="21"/>
        <v>1</v>
      </c>
      <c r="J28" s="534">
        <f t="shared" si="21"/>
        <v>1</v>
      </c>
      <c r="K28" s="534">
        <f t="shared" si="21"/>
        <v>1</v>
      </c>
      <c r="L28" s="534">
        <f t="shared" si="21"/>
        <v>1</v>
      </c>
      <c r="M28" s="534">
        <f t="shared" si="21"/>
        <v>1</v>
      </c>
      <c r="N28" s="535">
        <f t="shared" si="21"/>
        <v>1</v>
      </c>
      <c r="Q28" t="s">
        <v>297</v>
      </c>
      <c r="T28">
        <f>E7</f>
        <v>15</v>
      </c>
      <c r="U28">
        <f>F7</f>
        <v>15</v>
      </c>
    </row>
    <row r="29" spans="1:31" x14ac:dyDescent="0.2">
      <c r="A29" s="538" t="s">
        <v>310</v>
      </c>
      <c r="B29" s="547"/>
      <c r="C29" s="543">
        <f t="shared" ref="C29:N29" si="22">SUM(C26:C28)</f>
        <v>17</v>
      </c>
      <c r="D29" s="534">
        <f t="shared" si="22"/>
        <v>17</v>
      </c>
      <c r="E29" s="534">
        <f t="shared" si="22"/>
        <v>17</v>
      </c>
      <c r="F29" s="534">
        <f t="shared" si="22"/>
        <v>17</v>
      </c>
      <c r="G29" s="534">
        <f t="shared" si="22"/>
        <v>17</v>
      </c>
      <c r="H29" s="534">
        <f t="shared" si="22"/>
        <v>17</v>
      </c>
      <c r="I29" s="534">
        <f t="shared" si="22"/>
        <v>17</v>
      </c>
      <c r="J29" s="534">
        <f t="shared" si="22"/>
        <v>17</v>
      </c>
      <c r="K29" s="534">
        <f t="shared" si="22"/>
        <v>17</v>
      </c>
      <c r="L29" s="534">
        <f t="shared" si="22"/>
        <v>17</v>
      </c>
      <c r="M29" s="534">
        <f t="shared" si="22"/>
        <v>17</v>
      </c>
      <c r="N29" s="535">
        <f t="shared" si="22"/>
        <v>17</v>
      </c>
      <c r="Q29" t="s">
        <v>530</v>
      </c>
      <c r="R29">
        <v>2</v>
      </c>
      <c r="S29">
        <f>R29</f>
        <v>2</v>
      </c>
      <c r="T29">
        <f t="shared" ref="T29:AC29" si="23">S29</f>
        <v>2</v>
      </c>
      <c r="U29">
        <f t="shared" si="23"/>
        <v>2</v>
      </c>
      <c r="V29">
        <f t="shared" si="23"/>
        <v>2</v>
      </c>
      <c r="W29">
        <f t="shared" si="23"/>
        <v>2</v>
      </c>
      <c r="X29">
        <f t="shared" si="23"/>
        <v>2</v>
      </c>
      <c r="Y29">
        <f t="shared" si="23"/>
        <v>2</v>
      </c>
      <c r="Z29">
        <f t="shared" si="23"/>
        <v>2</v>
      </c>
      <c r="AA29">
        <f t="shared" si="23"/>
        <v>2</v>
      </c>
      <c r="AB29">
        <f t="shared" si="23"/>
        <v>2</v>
      </c>
      <c r="AC29">
        <f t="shared" si="23"/>
        <v>2</v>
      </c>
    </row>
    <row r="30" spans="1:31" x14ac:dyDescent="0.2">
      <c r="A30" s="538"/>
      <c r="B30" s="548"/>
      <c r="C30" s="541"/>
      <c r="D30" s="299"/>
      <c r="E30" s="299"/>
      <c r="F30" s="299"/>
      <c r="G30" s="299"/>
      <c r="H30" s="299"/>
      <c r="I30" s="299"/>
      <c r="J30" s="299"/>
      <c r="K30" s="299"/>
      <c r="L30" s="299"/>
      <c r="M30" s="299"/>
      <c r="N30" s="300"/>
      <c r="Q30" t="s">
        <v>531</v>
      </c>
      <c r="R30">
        <f>R25+R26-R27-R28-R29</f>
        <v>1089</v>
      </c>
      <c r="S30">
        <f t="shared" ref="S30:AC30" si="24">S25+S26-S27-S28-S29</f>
        <v>1087</v>
      </c>
      <c r="T30">
        <f t="shared" si="24"/>
        <v>1000</v>
      </c>
      <c r="U30">
        <f t="shared" si="24"/>
        <v>983</v>
      </c>
      <c r="V30">
        <f t="shared" si="24"/>
        <v>1147</v>
      </c>
      <c r="W30">
        <f t="shared" si="24"/>
        <v>1145</v>
      </c>
      <c r="X30">
        <f t="shared" si="24"/>
        <v>1143</v>
      </c>
      <c r="Y30">
        <f t="shared" si="24"/>
        <v>1141</v>
      </c>
      <c r="Z30">
        <f t="shared" si="24"/>
        <v>1139</v>
      </c>
      <c r="AA30">
        <f t="shared" si="24"/>
        <v>1137</v>
      </c>
      <c r="AB30">
        <f t="shared" si="24"/>
        <v>1135</v>
      </c>
      <c r="AC30">
        <f t="shared" si="24"/>
        <v>1133</v>
      </c>
    </row>
    <row r="31" spans="1:31" x14ac:dyDescent="0.2">
      <c r="A31" s="539" t="s">
        <v>350</v>
      </c>
      <c r="B31" s="548" t="s">
        <v>357</v>
      </c>
      <c r="C31" s="541">
        <f>C32</f>
        <v>0</v>
      </c>
      <c r="D31" s="299">
        <f>C32+D32</f>
        <v>0</v>
      </c>
      <c r="E31" s="299">
        <f>C32/2+D32+E32</f>
        <v>15.200000000000001</v>
      </c>
      <c r="F31" s="299">
        <f t="shared" ref="F31:N31" si="25">D32/2+E32+F32</f>
        <v>62.400000000000006</v>
      </c>
      <c r="G31" s="299">
        <f t="shared" si="25"/>
        <v>121.20000000000002</v>
      </c>
      <c r="H31" s="299">
        <f t="shared" si="25"/>
        <v>90</v>
      </c>
      <c r="I31" s="299">
        <f t="shared" si="25"/>
        <v>33.200000000000003</v>
      </c>
      <c r="J31" s="299">
        <f t="shared" si="25"/>
        <v>0</v>
      </c>
      <c r="K31" s="299">
        <f t="shared" si="25"/>
        <v>0</v>
      </c>
      <c r="L31" s="299">
        <f t="shared" si="25"/>
        <v>0</v>
      </c>
      <c r="M31" s="299">
        <f t="shared" si="25"/>
        <v>0</v>
      </c>
      <c r="N31" s="300">
        <f t="shared" si="25"/>
        <v>0</v>
      </c>
    </row>
    <row r="32" spans="1:31" x14ac:dyDescent="0.2">
      <c r="A32" s="538" t="s">
        <v>352</v>
      </c>
      <c r="B32" s="549">
        <v>0.4</v>
      </c>
      <c r="C32" s="542">
        <f>(C4+C5)*$B$32</f>
        <v>0</v>
      </c>
      <c r="D32" s="531">
        <f>(D4+D5)*$B$32</f>
        <v>0</v>
      </c>
      <c r="E32" s="531">
        <f>(E4+E5)*$B$32</f>
        <v>15.200000000000001</v>
      </c>
      <c r="F32" s="531">
        <f>(F4+F5)*$B$32</f>
        <v>47.2</v>
      </c>
      <c r="G32" s="531">
        <f t="shared" ref="G32:N32" si="26">(G4+G5)*$B$32</f>
        <v>66.400000000000006</v>
      </c>
      <c r="H32" s="531">
        <f t="shared" si="26"/>
        <v>0</v>
      </c>
      <c r="I32" s="531">
        <f t="shared" si="26"/>
        <v>0</v>
      </c>
      <c r="J32" s="531">
        <f t="shared" si="26"/>
        <v>0</v>
      </c>
      <c r="K32" s="531">
        <f t="shared" si="26"/>
        <v>0</v>
      </c>
      <c r="L32" s="531">
        <f t="shared" si="26"/>
        <v>0</v>
      </c>
      <c r="M32" s="531">
        <f t="shared" si="26"/>
        <v>0</v>
      </c>
      <c r="N32" s="532">
        <f t="shared" si="26"/>
        <v>0</v>
      </c>
      <c r="Q32" t="s">
        <v>527</v>
      </c>
      <c r="R32">
        <v>7</v>
      </c>
      <c r="S32">
        <f>R37</f>
        <v>5</v>
      </c>
      <c r="T32">
        <f t="shared" ref="T32:AC32" si="27">S37</f>
        <v>3</v>
      </c>
      <c r="U32">
        <f t="shared" si="27"/>
        <v>39</v>
      </c>
      <c r="V32">
        <f t="shared" si="27"/>
        <v>85</v>
      </c>
      <c r="W32">
        <f t="shared" si="27"/>
        <v>83</v>
      </c>
      <c r="X32">
        <f t="shared" si="27"/>
        <v>81</v>
      </c>
      <c r="Y32">
        <f t="shared" si="27"/>
        <v>79</v>
      </c>
      <c r="Z32">
        <f t="shared" si="27"/>
        <v>77</v>
      </c>
      <c r="AA32">
        <f t="shared" si="27"/>
        <v>75</v>
      </c>
      <c r="AB32">
        <f t="shared" si="27"/>
        <v>73</v>
      </c>
      <c r="AC32">
        <f t="shared" si="27"/>
        <v>-111</v>
      </c>
    </row>
    <row r="33" spans="1:32" x14ac:dyDescent="0.2">
      <c r="A33" s="538" t="s">
        <v>353</v>
      </c>
      <c r="B33" s="548">
        <v>120</v>
      </c>
      <c r="C33" s="542">
        <f>B33+C32-C34+Trnsf!D8</f>
        <v>120</v>
      </c>
      <c r="D33" s="531">
        <f>C33+D32-D34+Trnsf!E8</f>
        <v>120</v>
      </c>
      <c r="E33" s="531">
        <f>D33+E32-E34+Trnsf!F8</f>
        <v>135.19999999999999</v>
      </c>
      <c r="F33" s="531">
        <f>E33+F32-F34+Trnsf!G8</f>
        <v>182.39999999999998</v>
      </c>
      <c r="G33" s="531">
        <f>F33+G32-G34+Trnsf!H8</f>
        <v>233.6</v>
      </c>
      <c r="H33" s="531">
        <f>G33+H32-H34+Trnsf!I8</f>
        <v>186.39999999999998</v>
      </c>
      <c r="I33" s="531">
        <f>H33+I32-I34+Trnsf!J8</f>
        <v>119.99999999999997</v>
      </c>
      <c r="J33" s="531">
        <f>I33+J32-J34+Trnsf!K8</f>
        <v>119.99999999999997</v>
      </c>
      <c r="K33" s="531">
        <f>J33+K32-K34+Trnsf!L8</f>
        <v>119.99999999999997</v>
      </c>
      <c r="L33" s="795">
        <f>K33+L32-L34+Trnsf!M8</f>
        <v>119.99999999999997</v>
      </c>
      <c r="M33" s="531">
        <f>L33+M32-M34+Trnsf!N8</f>
        <v>119.99999999999997</v>
      </c>
      <c r="N33" s="532">
        <f>M33+N32-N34+Trnsf!O8</f>
        <v>119.99999999999997</v>
      </c>
      <c r="Q33" t="s">
        <v>529</v>
      </c>
      <c r="R33">
        <f>C4</f>
        <v>0</v>
      </c>
      <c r="S33">
        <f t="shared" ref="S33:U33" si="28">D4</f>
        <v>0</v>
      </c>
      <c r="T33">
        <f t="shared" si="28"/>
        <v>38</v>
      </c>
      <c r="U33">
        <f t="shared" si="28"/>
        <v>48</v>
      </c>
    </row>
    <row r="34" spans="1:32" x14ac:dyDescent="0.2">
      <c r="A34" s="538" t="s">
        <v>351</v>
      </c>
      <c r="B34" s="548"/>
      <c r="C34" s="541"/>
      <c r="D34" s="299"/>
      <c r="E34" s="299">
        <f>C32</f>
        <v>0</v>
      </c>
      <c r="F34" s="299">
        <f t="shared" ref="F34:N34" si="29">D32</f>
        <v>0</v>
      </c>
      <c r="G34" s="299">
        <f t="shared" si="29"/>
        <v>15.200000000000001</v>
      </c>
      <c r="H34" s="299">
        <f t="shared" si="29"/>
        <v>47.2</v>
      </c>
      <c r="I34" s="299">
        <f t="shared" si="29"/>
        <v>66.400000000000006</v>
      </c>
      <c r="J34" s="299">
        <f t="shared" si="29"/>
        <v>0</v>
      </c>
      <c r="K34" s="299">
        <f t="shared" si="29"/>
        <v>0</v>
      </c>
      <c r="L34" s="299">
        <f t="shared" si="29"/>
        <v>0</v>
      </c>
      <c r="M34" s="299">
        <f t="shared" si="29"/>
        <v>0</v>
      </c>
      <c r="N34" s="300">
        <f t="shared" si="29"/>
        <v>0</v>
      </c>
      <c r="Q34" t="s">
        <v>525</v>
      </c>
      <c r="R34">
        <f>C6</f>
        <v>0</v>
      </c>
      <c r="S34">
        <f>D6</f>
        <v>0</v>
      </c>
      <c r="AB34">
        <v>182</v>
      </c>
      <c r="AC34">
        <v>182</v>
      </c>
      <c r="AE34">
        <f>447-24-60</f>
        <v>363</v>
      </c>
      <c r="AF34">
        <f>AE34/2</f>
        <v>181.5</v>
      </c>
    </row>
    <row r="35" spans="1:32" x14ac:dyDescent="0.2">
      <c r="A35" s="538" t="s">
        <v>355</v>
      </c>
      <c r="B35" s="548">
        <v>500</v>
      </c>
      <c r="C35" s="542">
        <f>B35+C34-C36+Trnsf!D7</f>
        <v>500</v>
      </c>
      <c r="D35" s="531">
        <f>C35+D34-D36+Trnsf!E7</f>
        <v>500</v>
      </c>
      <c r="E35" s="531">
        <f>D35+E34-E36+Trnsf!F7</f>
        <v>500</v>
      </c>
      <c r="F35" s="531">
        <f>E35+F34-F36+Trnsf!G7</f>
        <v>500</v>
      </c>
      <c r="G35" s="531">
        <f>F35+G34-G36+Trnsf!H7</f>
        <v>515.20000000000005</v>
      </c>
      <c r="H35" s="531">
        <f>G35+H34-H36+Trnsf!I7</f>
        <v>562.40000000000009</v>
      </c>
      <c r="I35" s="531">
        <f>H35+I34-I36+Trnsf!J7</f>
        <v>628.80000000000007</v>
      </c>
      <c r="J35" s="531">
        <f>I35+J34-J36+Trnsf!K7</f>
        <v>628.80000000000007</v>
      </c>
      <c r="K35" s="531">
        <f>J35+K34-K36+Trnsf!L7</f>
        <v>628.80000000000007</v>
      </c>
      <c r="L35" s="531">
        <f>K35+L34-L36+Trnsf!M7</f>
        <v>628.80000000000007</v>
      </c>
      <c r="M35" s="531">
        <f>L35+M34-M36+Trnsf!N7</f>
        <v>628.80000000000007</v>
      </c>
      <c r="N35" s="532">
        <f>M35+N34-N36+Trnsf!O7</f>
        <v>628.80000000000007</v>
      </c>
      <c r="Q35" t="s">
        <v>297</v>
      </c>
      <c r="AC35">
        <v>60</v>
      </c>
    </row>
    <row r="36" spans="1:32" x14ac:dyDescent="0.2">
      <c r="A36" s="538" t="s">
        <v>356</v>
      </c>
      <c r="B36" s="548"/>
      <c r="C36" s="541"/>
      <c r="D36" s="299"/>
      <c r="E36" s="299"/>
      <c r="F36" s="299"/>
      <c r="G36" s="299"/>
      <c r="H36" s="299"/>
      <c r="I36" s="299"/>
      <c r="J36" s="299"/>
      <c r="K36" s="299"/>
      <c r="L36" s="299"/>
      <c r="M36" s="299"/>
      <c r="N36" s="300"/>
      <c r="Q36" t="s">
        <v>530</v>
      </c>
      <c r="R36">
        <v>2</v>
      </c>
      <c r="S36">
        <f>R36</f>
        <v>2</v>
      </c>
      <c r="T36">
        <f t="shared" ref="T36:AC36" si="30">S36</f>
        <v>2</v>
      </c>
      <c r="U36">
        <f t="shared" si="30"/>
        <v>2</v>
      </c>
      <c r="V36">
        <f t="shared" si="30"/>
        <v>2</v>
      </c>
      <c r="W36">
        <f t="shared" si="30"/>
        <v>2</v>
      </c>
      <c r="X36">
        <f t="shared" si="30"/>
        <v>2</v>
      </c>
      <c r="Y36">
        <f t="shared" si="30"/>
        <v>2</v>
      </c>
      <c r="Z36">
        <f t="shared" si="30"/>
        <v>2</v>
      </c>
      <c r="AA36">
        <f t="shared" si="30"/>
        <v>2</v>
      </c>
      <c r="AB36">
        <f t="shared" si="30"/>
        <v>2</v>
      </c>
      <c r="AC36">
        <f t="shared" si="30"/>
        <v>2</v>
      </c>
    </row>
    <row r="37" spans="1:32" x14ac:dyDescent="0.2">
      <c r="A37" s="538" t="s">
        <v>354</v>
      </c>
      <c r="B37" s="548">
        <v>250</v>
      </c>
      <c r="C37" s="542">
        <f>B37+C36-C5+Trnsf!D6-C38</f>
        <v>250</v>
      </c>
      <c r="D37" s="542">
        <f>C37+D36-D5+Trnsf!E6-D38</f>
        <v>250</v>
      </c>
      <c r="E37" s="542">
        <f>D37+E36-E5+Trnsf!F6-E38</f>
        <v>250</v>
      </c>
      <c r="F37" s="542">
        <f>E37+F36-F5+Trnsf!G6-F38</f>
        <v>180</v>
      </c>
      <c r="G37" s="542">
        <f>F37+G36-G5+Trnsf!H6-G38</f>
        <v>64</v>
      </c>
      <c r="H37" s="542">
        <f>G37+H36-H5+Trnsf!I6-H38</f>
        <v>64</v>
      </c>
      <c r="I37" s="542">
        <f>H37+I36-I5+Trnsf!J6-I38</f>
        <v>64</v>
      </c>
      <c r="J37" s="542">
        <f>I37+J36-J5+Trnsf!K6-J38</f>
        <v>64</v>
      </c>
      <c r="K37" s="542">
        <f>J37+K36-K5+Trnsf!L6-K38</f>
        <v>64</v>
      </c>
      <c r="L37" s="542">
        <f>K37+L36-L5+Trnsf!M6-L38</f>
        <v>64</v>
      </c>
      <c r="M37" s="542">
        <f>L37+M36-M5+Trnsf!N6-M38</f>
        <v>64</v>
      </c>
      <c r="N37" s="532">
        <f>M37+N36-N5+Trnsf!O6-N38</f>
        <v>64</v>
      </c>
      <c r="Q37" t="s">
        <v>531</v>
      </c>
      <c r="R37">
        <f>R32+R33-R34-R35-R36</f>
        <v>5</v>
      </c>
      <c r="S37">
        <f t="shared" ref="S37" si="31">S32+S33-S34-S35-S36</f>
        <v>3</v>
      </c>
      <c r="T37">
        <f t="shared" ref="T37" si="32">T32+T33-T34-T35-T36</f>
        <v>39</v>
      </c>
      <c r="U37">
        <f t="shared" ref="U37" si="33">U32+U33-U34-U35-U36</f>
        <v>85</v>
      </c>
      <c r="V37">
        <f t="shared" ref="V37" si="34">V32+V33-V34-V35-V36</f>
        <v>83</v>
      </c>
      <c r="W37">
        <f t="shared" ref="W37" si="35">W32+W33-W34-W35-W36</f>
        <v>81</v>
      </c>
      <c r="X37">
        <f t="shared" ref="X37" si="36">X32+X33-X34-X35-X36</f>
        <v>79</v>
      </c>
      <c r="Y37">
        <f t="shared" ref="Y37" si="37">Y32+Y33-Y34-Y35-Y36</f>
        <v>77</v>
      </c>
      <c r="Z37">
        <f t="shared" ref="Z37" si="38">Z32+Z33-Z34-Z35-Z36</f>
        <v>75</v>
      </c>
      <c r="AA37">
        <f t="shared" ref="AA37" si="39">AA32+AA33-AA34-AA35-AA36</f>
        <v>73</v>
      </c>
      <c r="AB37">
        <f t="shared" ref="AB37" si="40">AB32+AB33-AB34-AB35-AB36</f>
        <v>-111</v>
      </c>
      <c r="AC37">
        <f t="shared" ref="AC37" si="41">AC32+AC33-AC34-AC35-AC36</f>
        <v>-355</v>
      </c>
    </row>
    <row r="38" spans="1:32" x14ac:dyDescent="0.2">
      <c r="A38" s="538" t="s">
        <v>532</v>
      </c>
      <c r="B38" s="548"/>
      <c r="C38" s="541"/>
      <c r="D38" s="541"/>
      <c r="E38" s="541"/>
      <c r="F38" s="541"/>
      <c r="G38" s="541"/>
      <c r="H38" s="541"/>
      <c r="I38" s="541"/>
      <c r="J38" s="541"/>
      <c r="K38" s="541"/>
      <c r="L38" s="541"/>
      <c r="M38" s="541">
        <v>0</v>
      </c>
      <c r="N38" s="300"/>
    </row>
    <row r="39" spans="1:32" x14ac:dyDescent="0.2">
      <c r="A39" s="538" t="s">
        <v>440</v>
      </c>
      <c r="B39" s="548"/>
      <c r="C39" s="542">
        <f>C33+C35+C37</f>
        <v>870</v>
      </c>
      <c r="D39" s="531">
        <f t="shared" ref="D39:N39" si="42">D33+D35+D37</f>
        <v>870</v>
      </c>
      <c r="E39" s="531">
        <f t="shared" si="42"/>
        <v>885.2</v>
      </c>
      <c r="F39" s="531">
        <f t="shared" si="42"/>
        <v>862.4</v>
      </c>
      <c r="G39" s="531">
        <f t="shared" si="42"/>
        <v>812.80000000000007</v>
      </c>
      <c r="H39" s="531">
        <f t="shared" si="42"/>
        <v>812.80000000000007</v>
      </c>
      <c r="I39" s="531">
        <f t="shared" si="42"/>
        <v>812.80000000000007</v>
      </c>
      <c r="J39" s="531">
        <f t="shared" si="42"/>
        <v>812.80000000000007</v>
      </c>
      <c r="K39" s="531">
        <f t="shared" si="42"/>
        <v>812.80000000000007</v>
      </c>
      <c r="L39" s="531">
        <f t="shared" si="42"/>
        <v>812.80000000000007</v>
      </c>
      <c r="M39" s="531">
        <f t="shared" si="42"/>
        <v>812.80000000000007</v>
      </c>
      <c r="N39" s="532">
        <f t="shared" si="42"/>
        <v>812.80000000000007</v>
      </c>
    </row>
    <row r="40" spans="1:32" x14ac:dyDescent="0.2">
      <c r="A40" s="539" t="s">
        <v>439</v>
      </c>
      <c r="B40" s="548"/>
      <c r="C40" s="541"/>
      <c r="D40" s="299"/>
      <c r="E40" s="299"/>
      <c r="F40" s="299"/>
      <c r="G40" s="299"/>
      <c r="H40" s="299"/>
      <c r="I40" s="299"/>
      <c r="J40" s="299"/>
      <c r="K40" s="299"/>
      <c r="L40" s="299"/>
      <c r="M40" s="299"/>
      <c r="N40" s="300"/>
    </row>
    <row r="41" spans="1:32" x14ac:dyDescent="0.2">
      <c r="A41" s="538" t="str">
        <f>A35</f>
        <v>Post-Weaned Heifers</v>
      </c>
      <c r="B41" s="548"/>
      <c r="C41" s="541"/>
      <c r="D41" s="299"/>
      <c r="E41" s="299"/>
      <c r="F41" s="299"/>
      <c r="G41" s="299"/>
      <c r="H41" s="299"/>
      <c r="I41" s="299"/>
      <c r="J41" s="299"/>
      <c r="K41" s="299"/>
      <c r="L41" s="299"/>
      <c r="M41" s="299"/>
      <c r="N41" s="300"/>
    </row>
    <row r="42" spans="1:32" x14ac:dyDescent="0.2">
      <c r="A42" s="538" t="str">
        <f>A37</f>
        <v>Heifers in Calf</v>
      </c>
      <c r="B42" s="548"/>
      <c r="C42" s="541"/>
      <c r="D42" s="299"/>
      <c r="E42" s="299"/>
      <c r="F42" s="299"/>
      <c r="G42" s="299"/>
      <c r="H42" s="299"/>
      <c r="I42" s="299"/>
      <c r="J42" s="299"/>
      <c r="K42" s="299"/>
      <c r="L42" s="299"/>
      <c r="M42" s="299"/>
      <c r="N42" s="300"/>
    </row>
    <row r="43" spans="1:32" x14ac:dyDescent="0.2">
      <c r="A43" s="538"/>
      <c r="B43" s="548"/>
      <c r="C43" s="541"/>
      <c r="D43" s="299"/>
      <c r="E43" s="299"/>
      <c r="F43" s="299"/>
      <c r="G43" s="299"/>
      <c r="H43" s="299"/>
      <c r="I43" s="299"/>
      <c r="J43" s="299"/>
      <c r="K43" s="299"/>
      <c r="L43" s="299"/>
      <c r="M43" s="299"/>
      <c r="N43" s="300"/>
    </row>
    <row r="44" spans="1:32" x14ac:dyDescent="0.2">
      <c r="A44" s="538"/>
      <c r="B44" s="548"/>
      <c r="C44" s="541"/>
      <c r="D44" s="299"/>
      <c r="E44" s="299"/>
      <c r="F44" s="299"/>
      <c r="G44" s="299"/>
      <c r="H44" s="299"/>
      <c r="I44" s="299"/>
      <c r="J44" s="299"/>
      <c r="K44" s="299"/>
      <c r="L44" s="299"/>
      <c r="M44" s="299"/>
      <c r="N44" s="300"/>
    </row>
    <row r="45" spans="1:32" x14ac:dyDescent="0.2">
      <c r="A45" s="538"/>
      <c r="B45" s="548"/>
      <c r="C45" s="541"/>
      <c r="D45" s="299"/>
      <c r="E45" s="299"/>
      <c r="F45" s="299"/>
      <c r="G45" s="299"/>
      <c r="H45" s="299"/>
      <c r="I45" s="299"/>
      <c r="J45" s="299"/>
      <c r="K45" s="299"/>
      <c r="L45" s="299"/>
      <c r="M45" s="299"/>
      <c r="N45" s="300"/>
    </row>
    <row r="46" spans="1:32" x14ac:dyDescent="0.2">
      <c r="A46" s="538"/>
      <c r="B46" s="548"/>
      <c r="C46" s="541"/>
      <c r="D46" s="299"/>
      <c r="E46" s="299"/>
      <c r="F46" s="299"/>
      <c r="G46" s="299"/>
      <c r="H46" s="299"/>
      <c r="I46" s="299"/>
      <c r="J46" s="299"/>
      <c r="K46" s="299"/>
      <c r="L46" s="299"/>
      <c r="M46" s="299"/>
      <c r="N46" s="300"/>
    </row>
    <row r="47" spans="1:32" x14ac:dyDescent="0.2">
      <c r="A47" s="538"/>
      <c r="B47" s="548"/>
      <c r="C47" s="541"/>
      <c r="D47" s="299"/>
      <c r="E47" s="299"/>
      <c r="F47" s="299"/>
      <c r="G47" s="299"/>
      <c r="H47" s="299"/>
      <c r="I47" s="299"/>
      <c r="J47" s="299"/>
      <c r="K47" s="299"/>
      <c r="L47" s="299"/>
      <c r="M47" s="299"/>
      <c r="N47" s="300"/>
    </row>
    <row r="48" spans="1:32" x14ac:dyDescent="0.2">
      <c r="A48" s="538"/>
      <c r="B48" s="548"/>
      <c r="C48" s="541"/>
      <c r="D48" s="299"/>
      <c r="E48" s="299"/>
      <c r="F48" s="299"/>
      <c r="G48" s="299"/>
      <c r="H48" s="299"/>
      <c r="I48" s="299"/>
      <c r="J48" s="299"/>
      <c r="K48" s="299"/>
      <c r="L48" s="299"/>
      <c r="M48" s="299"/>
      <c r="N48" s="300"/>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C11E8-704D-435B-B947-3A040273D263}">
  <sheetPr>
    <tabColor rgb="FF00B0F0"/>
  </sheetPr>
  <dimension ref="A1:NB91"/>
  <sheetViews>
    <sheetView topLeftCell="A19" workbookViewId="0">
      <selection activeCell="B31" sqref="B31"/>
    </sheetView>
  </sheetViews>
  <sheetFormatPr defaultRowHeight="12.75" x14ac:dyDescent="0.2"/>
  <cols>
    <col min="1" max="1" width="9.33203125" customWidth="1"/>
    <col min="2" max="2" width="6" customWidth="1"/>
    <col min="3" max="26" width="7.6640625" customWidth="1"/>
    <col min="27" max="75" width="6" customWidth="1"/>
    <col min="76" max="76" width="6" style="797" customWidth="1"/>
    <col min="77" max="366" width="6" customWidth="1"/>
  </cols>
  <sheetData>
    <row r="1" spans="1:366" ht="14.25" x14ac:dyDescent="0.2">
      <c r="A1" s="805" t="s">
        <v>540</v>
      </c>
    </row>
    <row r="3" spans="1:366" x14ac:dyDescent="0.2">
      <c r="A3" t="s">
        <v>541</v>
      </c>
      <c r="B3">
        <v>1</v>
      </c>
      <c r="C3">
        <v>2</v>
      </c>
      <c r="D3">
        <v>3</v>
      </c>
      <c r="E3">
        <v>4</v>
      </c>
      <c r="F3">
        <v>5</v>
      </c>
      <c r="G3">
        <v>6</v>
      </c>
      <c r="H3">
        <v>7</v>
      </c>
      <c r="I3">
        <v>8</v>
      </c>
      <c r="J3">
        <v>9</v>
      </c>
      <c r="K3">
        <v>10</v>
      </c>
      <c r="L3">
        <v>11</v>
      </c>
      <c r="M3">
        <v>12</v>
      </c>
      <c r="N3">
        <v>13</v>
      </c>
      <c r="O3">
        <v>14</v>
      </c>
      <c r="P3">
        <v>15</v>
      </c>
      <c r="Q3">
        <v>16</v>
      </c>
      <c r="R3">
        <v>17</v>
      </c>
      <c r="S3">
        <v>18</v>
      </c>
      <c r="T3">
        <v>19</v>
      </c>
      <c r="U3">
        <v>20</v>
      </c>
      <c r="V3">
        <v>21</v>
      </c>
      <c r="W3">
        <v>22</v>
      </c>
      <c r="X3">
        <v>23</v>
      </c>
      <c r="Y3">
        <v>24</v>
      </c>
      <c r="Z3">
        <v>25</v>
      </c>
      <c r="AA3">
        <v>26</v>
      </c>
      <c r="AB3">
        <v>27</v>
      </c>
      <c r="AC3">
        <v>28</v>
      </c>
      <c r="AD3">
        <v>29</v>
      </c>
      <c r="AE3">
        <v>30</v>
      </c>
      <c r="AF3">
        <v>31</v>
      </c>
      <c r="AG3">
        <v>32</v>
      </c>
      <c r="AH3">
        <v>33</v>
      </c>
      <c r="AI3">
        <v>34</v>
      </c>
      <c r="AJ3">
        <v>35</v>
      </c>
      <c r="AK3">
        <v>36</v>
      </c>
      <c r="AL3">
        <v>37</v>
      </c>
      <c r="AM3">
        <v>38</v>
      </c>
      <c r="AN3">
        <v>39</v>
      </c>
      <c r="AO3">
        <v>40</v>
      </c>
      <c r="AP3">
        <v>41</v>
      </c>
      <c r="AQ3">
        <v>42</v>
      </c>
      <c r="AR3">
        <v>43</v>
      </c>
      <c r="AS3">
        <v>44</v>
      </c>
      <c r="AT3">
        <v>45</v>
      </c>
      <c r="AU3">
        <v>46</v>
      </c>
      <c r="AV3">
        <v>47</v>
      </c>
      <c r="AW3">
        <v>48</v>
      </c>
      <c r="AX3">
        <v>49</v>
      </c>
      <c r="AY3">
        <v>50</v>
      </c>
      <c r="AZ3">
        <v>51</v>
      </c>
      <c r="BA3">
        <v>52</v>
      </c>
      <c r="BB3">
        <v>53</v>
      </c>
      <c r="BC3">
        <v>54</v>
      </c>
      <c r="BD3">
        <v>55</v>
      </c>
      <c r="BE3">
        <v>56</v>
      </c>
      <c r="BF3">
        <v>57</v>
      </c>
      <c r="BG3">
        <v>58</v>
      </c>
      <c r="BH3">
        <v>59</v>
      </c>
      <c r="BI3">
        <v>60</v>
      </c>
      <c r="BJ3">
        <v>61</v>
      </c>
      <c r="BK3">
        <v>62</v>
      </c>
      <c r="BL3">
        <v>63</v>
      </c>
      <c r="BM3">
        <v>64</v>
      </c>
      <c r="BN3">
        <v>65</v>
      </c>
      <c r="BO3">
        <v>66</v>
      </c>
      <c r="BP3">
        <v>67</v>
      </c>
      <c r="BQ3">
        <v>68</v>
      </c>
      <c r="BR3">
        <v>69</v>
      </c>
      <c r="BS3">
        <v>70</v>
      </c>
      <c r="BT3">
        <v>71</v>
      </c>
      <c r="BU3">
        <v>72</v>
      </c>
      <c r="BV3">
        <v>73</v>
      </c>
      <c r="BW3">
        <v>74</v>
      </c>
      <c r="BX3" s="797">
        <v>75</v>
      </c>
      <c r="BY3">
        <v>76</v>
      </c>
      <c r="BZ3">
        <v>77</v>
      </c>
      <c r="CA3">
        <v>78</v>
      </c>
      <c r="CB3">
        <v>79</v>
      </c>
      <c r="CC3">
        <v>80</v>
      </c>
      <c r="CD3">
        <v>81</v>
      </c>
      <c r="CE3">
        <v>82</v>
      </c>
      <c r="CF3">
        <v>83</v>
      </c>
      <c r="CG3">
        <v>84</v>
      </c>
      <c r="CH3">
        <v>85</v>
      </c>
      <c r="CI3">
        <v>86</v>
      </c>
      <c r="CJ3">
        <v>87</v>
      </c>
      <c r="CK3">
        <v>88</v>
      </c>
      <c r="CL3">
        <v>89</v>
      </c>
      <c r="CM3">
        <v>90</v>
      </c>
      <c r="CN3">
        <v>91</v>
      </c>
      <c r="CO3">
        <v>92</v>
      </c>
      <c r="CP3">
        <v>93</v>
      </c>
      <c r="CQ3">
        <v>94</v>
      </c>
      <c r="CR3">
        <v>95</v>
      </c>
      <c r="CS3">
        <v>96</v>
      </c>
      <c r="CT3">
        <v>97</v>
      </c>
      <c r="CU3">
        <v>98</v>
      </c>
      <c r="CV3">
        <v>99</v>
      </c>
      <c r="CW3">
        <v>100</v>
      </c>
      <c r="CX3">
        <v>101</v>
      </c>
      <c r="CY3">
        <v>102</v>
      </c>
      <c r="CZ3">
        <v>103</v>
      </c>
      <c r="DA3">
        <v>104</v>
      </c>
      <c r="DB3">
        <v>105</v>
      </c>
      <c r="DC3">
        <v>106</v>
      </c>
      <c r="DD3">
        <v>107</v>
      </c>
      <c r="DE3">
        <v>108</v>
      </c>
      <c r="DF3">
        <v>109</v>
      </c>
      <c r="DG3">
        <v>110</v>
      </c>
      <c r="DH3">
        <v>111</v>
      </c>
      <c r="DI3">
        <v>112</v>
      </c>
      <c r="DJ3">
        <v>113</v>
      </c>
      <c r="DK3">
        <v>114</v>
      </c>
      <c r="DL3">
        <v>115</v>
      </c>
      <c r="DM3">
        <v>116</v>
      </c>
      <c r="DN3">
        <v>117</v>
      </c>
      <c r="DO3">
        <v>118</v>
      </c>
      <c r="DP3">
        <v>119</v>
      </c>
      <c r="DQ3">
        <v>120</v>
      </c>
      <c r="DR3">
        <v>121</v>
      </c>
      <c r="DS3">
        <v>122</v>
      </c>
      <c r="DT3">
        <v>123</v>
      </c>
      <c r="DU3">
        <v>124</v>
      </c>
      <c r="DV3">
        <v>125</v>
      </c>
      <c r="DW3">
        <v>126</v>
      </c>
      <c r="DX3">
        <v>127</v>
      </c>
      <c r="DY3">
        <v>128</v>
      </c>
      <c r="DZ3">
        <v>129</v>
      </c>
      <c r="EA3">
        <v>130</v>
      </c>
      <c r="EB3">
        <v>131</v>
      </c>
      <c r="EC3">
        <v>132</v>
      </c>
      <c r="ED3">
        <v>133</v>
      </c>
      <c r="EE3">
        <v>134</v>
      </c>
      <c r="EF3">
        <v>135</v>
      </c>
      <c r="EG3">
        <v>136</v>
      </c>
      <c r="EH3">
        <v>137</v>
      </c>
      <c r="EI3">
        <v>138</v>
      </c>
      <c r="EJ3">
        <v>139</v>
      </c>
      <c r="EK3">
        <v>140</v>
      </c>
      <c r="EL3">
        <v>141</v>
      </c>
      <c r="EM3">
        <v>142</v>
      </c>
      <c r="EN3">
        <v>143</v>
      </c>
      <c r="EO3">
        <v>144</v>
      </c>
      <c r="EP3">
        <v>145</v>
      </c>
      <c r="EQ3">
        <v>146</v>
      </c>
      <c r="ER3">
        <v>147</v>
      </c>
      <c r="ES3">
        <v>148</v>
      </c>
      <c r="ET3">
        <v>149</v>
      </c>
      <c r="EU3">
        <v>150</v>
      </c>
      <c r="EV3">
        <v>151</v>
      </c>
      <c r="EW3">
        <v>152</v>
      </c>
      <c r="EX3">
        <v>153</v>
      </c>
      <c r="EY3">
        <v>154</v>
      </c>
      <c r="EZ3">
        <v>155</v>
      </c>
      <c r="FA3">
        <v>156</v>
      </c>
      <c r="FB3">
        <v>157</v>
      </c>
      <c r="FC3">
        <v>158</v>
      </c>
      <c r="FD3">
        <v>159</v>
      </c>
      <c r="FE3">
        <v>160</v>
      </c>
      <c r="FF3">
        <v>161</v>
      </c>
      <c r="FG3">
        <v>162</v>
      </c>
      <c r="FH3">
        <v>163</v>
      </c>
      <c r="FI3">
        <v>164</v>
      </c>
      <c r="FJ3">
        <v>165</v>
      </c>
      <c r="FK3">
        <v>166</v>
      </c>
      <c r="FL3">
        <v>167</v>
      </c>
      <c r="FM3">
        <v>168</v>
      </c>
      <c r="FN3">
        <v>169</v>
      </c>
      <c r="FO3">
        <v>170</v>
      </c>
      <c r="FP3">
        <v>171</v>
      </c>
      <c r="FQ3">
        <v>172</v>
      </c>
      <c r="FR3">
        <v>173</v>
      </c>
      <c r="FS3">
        <v>174</v>
      </c>
      <c r="FT3">
        <v>175</v>
      </c>
      <c r="FU3">
        <v>176</v>
      </c>
      <c r="FV3">
        <v>177</v>
      </c>
      <c r="FW3">
        <v>178</v>
      </c>
      <c r="FX3">
        <v>179</v>
      </c>
      <c r="FY3">
        <v>180</v>
      </c>
      <c r="FZ3">
        <v>181</v>
      </c>
      <c r="GA3">
        <v>182</v>
      </c>
      <c r="GB3">
        <v>183</v>
      </c>
      <c r="GC3">
        <v>184</v>
      </c>
      <c r="GD3">
        <v>185</v>
      </c>
      <c r="GE3">
        <v>186</v>
      </c>
      <c r="GF3">
        <v>187</v>
      </c>
      <c r="GG3">
        <v>188</v>
      </c>
      <c r="GH3">
        <v>189</v>
      </c>
      <c r="GI3">
        <v>190</v>
      </c>
      <c r="GJ3">
        <v>191</v>
      </c>
      <c r="GK3">
        <v>192</v>
      </c>
      <c r="GL3">
        <v>193</v>
      </c>
      <c r="GM3">
        <v>194</v>
      </c>
      <c r="GN3">
        <v>195</v>
      </c>
      <c r="GO3">
        <v>196</v>
      </c>
      <c r="GP3">
        <v>197</v>
      </c>
      <c r="GQ3">
        <v>198</v>
      </c>
      <c r="GR3">
        <v>199</v>
      </c>
      <c r="GS3">
        <v>200</v>
      </c>
      <c r="GT3">
        <v>201</v>
      </c>
      <c r="GU3">
        <v>202</v>
      </c>
      <c r="GV3">
        <v>203</v>
      </c>
      <c r="GW3">
        <v>204</v>
      </c>
      <c r="GX3">
        <v>205</v>
      </c>
      <c r="GY3">
        <v>206</v>
      </c>
      <c r="GZ3">
        <v>207</v>
      </c>
      <c r="HA3">
        <v>208</v>
      </c>
      <c r="HB3">
        <v>209</v>
      </c>
      <c r="HC3">
        <v>210</v>
      </c>
      <c r="HD3">
        <v>211</v>
      </c>
      <c r="HE3">
        <v>212</v>
      </c>
      <c r="HF3">
        <v>213</v>
      </c>
      <c r="HG3">
        <v>214</v>
      </c>
      <c r="HH3">
        <v>215</v>
      </c>
      <c r="HI3">
        <v>216</v>
      </c>
      <c r="HJ3">
        <v>217</v>
      </c>
      <c r="HK3">
        <v>218</v>
      </c>
      <c r="HL3">
        <v>219</v>
      </c>
      <c r="HM3">
        <v>220</v>
      </c>
      <c r="HN3">
        <v>221</v>
      </c>
      <c r="HO3">
        <v>222</v>
      </c>
      <c r="HP3">
        <v>223</v>
      </c>
      <c r="HQ3">
        <v>224</v>
      </c>
      <c r="HR3">
        <v>225</v>
      </c>
      <c r="HS3">
        <v>226</v>
      </c>
      <c r="HT3">
        <v>227</v>
      </c>
      <c r="HU3">
        <v>228</v>
      </c>
      <c r="HV3">
        <v>229</v>
      </c>
      <c r="HW3">
        <v>230</v>
      </c>
      <c r="HX3">
        <v>231</v>
      </c>
      <c r="HY3">
        <v>232</v>
      </c>
      <c r="HZ3">
        <v>233</v>
      </c>
      <c r="IA3">
        <v>234</v>
      </c>
      <c r="IB3">
        <v>235</v>
      </c>
      <c r="IC3">
        <v>236</v>
      </c>
      <c r="ID3">
        <v>237</v>
      </c>
      <c r="IE3">
        <v>238</v>
      </c>
      <c r="IF3">
        <v>239</v>
      </c>
      <c r="IG3">
        <v>240</v>
      </c>
      <c r="IH3">
        <v>241</v>
      </c>
      <c r="II3">
        <v>242</v>
      </c>
      <c r="IJ3">
        <v>243</v>
      </c>
      <c r="IK3">
        <v>244</v>
      </c>
      <c r="IL3">
        <v>245</v>
      </c>
      <c r="IM3">
        <v>246</v>
      </c>
      <c r="IN3">
        <v>247</v>
      </c>
      <c r="IO3">
        <v>248</v>
      </c>
      <c r="IP3">
        <v>249</v>
      </c>
      <c r="IQ3">
        <v>250</v>
      </c>
      <c r="IR3">
        <v>251</v>
      </c>
      <c r="IS3">
        <v>252</v>
      </c>
      <c r="IT3">
        <v>253</v>
      </c>
      <c r="IU3">
        <v>254</v>
      </c>
      <c r="IV3">
        <v>255</v>
      </c>
      <c r="IW3">
        <v>256</v>
      </c>
      <c r="IX3">
        <v>257</v>
      </c>
      <c r="IY3">
        <v>258</v>
      </c>
      <c r="IZ3">
        <v>259</v>
      </c>
      <c r="JA3">
        <v>260</v>
      </c>
      <c r="JB3">
        <v>261</v>
      </c>
      <c r="JC3">
        <v>262</v>
      </c>
      <c r="JD3">
        <v>263</v>
      </c>
      <c r="JE3">
        <v>264</v>
      </c>
      <c r="JF3">
        <v>265</v>
      </c>
      <c r="JG3">
        <v>266</v>
      </c>
      <c r="JH3">
        <v>267</v>
      </c>
      <c r="JI3">
        <v>268</v>
      </c>
      <c r="JJ3">
        <v>269</v>
      </c>
      <c r="JK3">
        <v>270</v>
      </c>
      <c r="JL3">
        <v>271</v>
      </c>
      <c r="JM3">
        <v>272</v>
      </c>
      <c r="JN3">
        <v>273</v>
      </c>
      <c r="JO3">
        <v>274</v>
      </c>
      <c r="JP3">
        <v>275</v>
      </c>
      <c r="JQ3">
        <v>276</v>
      </c>
      <c r="JR3">
        <v>277</v>
      </c>
      <c r="JS3">
        <v>278</v>
      </c>
      <c r="JT3">
        <v>279</v>
      </c>
      <c r="JU3">
        <v>280</v>
      </c>
      <c r="JV3">
        <v>281</v>
      </c>
      <c r="JW3">
        <v>282</v>
      </c>
      <c r="JX3">
        <v>283</v>
      </c>
      <c r="JY3">
        <v>284</v>
      </c>
      <c r="JZ3">
        <v>285</v>
      </c>
      <c r="KA3">
        <v>286</v>
      </c>
      <c r="KB3">
        <v>287</v>
      </c>
      <c r="KC3">
        <v>288</v>
      </c>
      <c r="KD3">
        <v>289</v>
      </c>
      <c r="KE3">
        <v>290</v>
      </c>
      <c r="KF3">
        <v>291</v>
      </c>
      <c r="KG3">
        <v>292</v>
      </c>
      <c r="KH3">
        <v>293</v>
      </c>
      <c r="KI3">
        <v>294</v>
      </c>
      <c r="KJ3">
        <v>295</v>
      </c>
      <c r="KK3">
        <v>296</v>
      </c>
      <c r="KL3">
        <v>297</v>
      </c>
      <c r="KM3">
        <v>298</v>
      </c>
      <c r="KN3">
        <v>299</v>
      </c>
      <c r="KO3">
        <v>300</v>
      </c>
      <c r="KP3">
        <v>301</v>
      </c>
      <c r="KQ3">
        <v>302</v>
      </c>
      <c r="KR3">
        <v>303</v>
      </c>
      <c r="KS3">
        <v>304</v>
      </c>
      <c r="KT3">
        <v>305</v>
      </c>
      <c r="KU3">
        <v>306</v>
      </c>
      <c r="KV3">
        <v>307</v>
      </c>
      <c r="KW3">
        <v>308</v>
      </c>
      <c r="KX3">
        <v>309</v>
      </c>
      <c r="KY3">
        <v>310</v>
      </c>
      <c r="KZ3">
        <v>311</v>
      </c>
      <c r="LA3">
        <v>312</v>
      </c>
      <c r="LB3">
        <v>313</v>
      </c>
      <c r="LC3">
        <v>314</v>
      </c>
      <c r="LD3">
        <v>315</v>
      </c>
      <c r="LE3">
        <v>316</v>
      </c>
      <c r="LF3">
        <v>317</v>
      </c>
      <c r="LG3">
        <v>318</v>
      </c>
      <c r="LH3">
        <v>319</v>
      </c>
      <c r="LI3">
        <v>320</v>
      </c>
      <c r="LJ3">
        <v>321</v>
      </c>
      <c r="LK3">
        <v>322</v>
      </c>
      <c r="LL3">
        <v>323</v>
      </c>
      <c r="LM3">
        <v>324</v>
      </c>
      <c r="LN3">
        <v>325</v>
      </c>
      <c r="LO3">
        <v>326</v>
      </c>
      <c r="LP3">
        <v>327</v>
      </c>
      <c r="LQ3">
        <v>328</v>
      </c>
      <c r="LR3">
        <v>329</v>
      </c>
      <c r="LS3">
        <v>330</v>
      </c>
      <c r="LT3">
        <v>331</v>
      </c>
      <c r="LU3">
        <v>332</v>
      </c>
      <c r="LV3">
        <v>333</v>
      </c>
      <c r="LW3">
        <v>334</v>
      </c>
      <c r="LX3">
        <v>335</v>
      </c>
      <c r="LY3">
        <v>336</v>
      </c>
      <c r="LZ3">
        <v>337</v>
      </c>
      <c r="MA3">
        <v>338</v>
      </c>
      <c r="MB3">
        <v>339</v>
      </c>
      <c r="MC3">
        <v>340</v>
      </c>
      <c r="MD3">
        <v>341</v>
      </c>
      <c r="ME3">
        <v>342</v>
      </c>
      <c r="MF3">
        <v>343</v>
      </c>
      <c r="MG3">
        <v>344</v>
      </c>
      <c r="MH3">
        <v>345</v>
      </c>
      <c r="MI3">
        <v>346</v>
      </c>
      <c r="MJ3">
        <v>347</v>
      </c>
      <c r="MK3">
        <v>348</v>
      </c>
      <c r="ML3">
        <v>349</v>
      </c>
      <c r="MM3">
        <v>350</v>
      </c>
      <c r="MN3">
        <v>351</v>
      </c>
      <c r="MO3">
        <v>352</v>
      </c>
      <c r="MP3">
        <v>353</v>
      </c>
      <c r="MQ3">
        <v>354</v>
      </c>
      <c r="MR3">
        <v>355</v>
      </c>
      <c r="MS3">
        <v>356</v>
      </c>
      <c r="MT3">
        <v>357</v>
      </c>
      <c r="MU3">
        <v>358</v>
      </c>
      <c r="MV3">
        <v>359</v>
      </c>
      <c r="MW3">
        <v>360</v>
      </c>
      <c r="MX3">
        <v>361</v>
      </c>
      <c r="MY3">
        <v>362</v>
      </c>
      <c r="MZ3">
        <v>363</v>
      </c>
      <c r="NA3">
        <v>364</v>
      </c>
      <c r="NB3">
        <v>365</v>
      </c>
    </row>
    <row r="4" spans="1:366" x14ac:dyDescent="0.2">
      <c r="A4" t="s">
        <v>542</v>
      </c>
      <c r="B4" s="798">
        <f>B10</f>
        <v>12.183014414593917</v>
      </c>
      <c r="C4">
        <f>B4*(1+C5)</f>
        <v>12.31946417603737</v>
      </c>
      <c r="D4">
        <f t="shared" ref="D4:BO4" si="0">C4*(1+D5)</f>
        <v>12.457442174808989</v>
      </c>
      <c r="E4">
        <f t="shared" si="0"/>
        <v>12.596965527166851</v>
      </c>
      <c r="F4">
        <f t="shared" si="0"/>
        <v>12.738051541071121</v>
      </c>
      <c r="G4">
        <f t="shared" si="0"/>
        <v>12.880717718331118</v>
      </c>
      <c r="H4">
        <f t="shared" si="0"/>
        <v>13.024981756776429</v>
      </c>
      <c r="I4">
        <f t="shared" si="0"/>
        <v>13.170861552452326</v>
      </c>
      <c r="J4">
        <f t="shared" si="0"/>
        <v>13.318375201839793</v>
      </c>
      <c r="K4">
        <f t="shared" si="0"/>
        <v>13.467541004100399</v>
      </c>
      <c r="L4">
        <f t="shared" si="0"/>
        <v>13.618377463346325</v>
      </c>
      <c r="M4">
        <f t="shared" si="0"/>
        <v>13.770903290935806</v>
      </c>
      <c r="N4">
        <f t="shared" si="0"/>
        <v>13.925137407794288</v>
      </c>
      <c r="O4">
        <f t="shared" si="0"/>
        <v>14.081098946761585</v>
      </c>
      <c r="P4">
        <f t="shared" si="0"/>
        <v>14.238807254965316</v>
      </c>
      <c r="Q4">
        <f t="shared" si="0"/>
        <v>14.398281896220929</v>
      </c>
      <c r="R4">
        <f t="shared" si="0"/>
        <v>14.559542653458605</v>
      </c>
      <c r="S4">
        <f t="shared" si="0"/>
        <v>14.722609531177342</v>
      </c>
      <c r="T4">
        <f t="shared" si="0"/>
        <v>14.88750275792653</v>
      </c>
      <c r="U4">
        <f t="shared" si="0"/>
        <v>15.054242788815309</v>
      </c>
      <c r="V4">
        <f t="shared" si="0"/>
        <v>15.222850308050042</v>
      </c>
      <c r="W4">
        <f t="shared" si="0"/>
        <v>15.393346231500203</v>
      </c>
      <c r="X4">
        <f t="shared" si="0"/>
        <v>15.565751709293007</v>
      </c>
      <c r="Y4">
        <f t="shared" si="0"/>
        <v>15.74008812843709</v>
      </c>
      <c r="Z4">
        <f t="shared" si="0"/>
        <v>15.916377115475587</v>
      </c>
      <c r="AA4">
        <f t="shared" si="0"/>
        <v>16.094640539168914</v>
      </c>
      <c r="AB4">
        <f t="shared" si="0"/>
        <v>16.274900513207609</v>
      </c>
      <c r="AC4">
        <f t="shared" si="0"/>
        <v>16.457179398955535</v>
      </c>
      <c r="AD4">
        <f t="shared" si="0"/>
        <v>16.641499808223838</v>
      </c>
      <c r="AE4">
        <f t="shared" si="0"/>
        <v>16.827884606075948</v>
      </c>
      <c r="AF4">
        <f t="shared" si="0"/>
        <v>17.016356913664001</v>
      </c>
      <c r="AG4">
        <f t="shared" si="0"/>
        <v>17.20694011109704</v>
      </c>
      <c r="AH4">
        <f t="shared" si="0"/>
        <v>17.39965784034133</v>
      </c>
      <c r="AI4">
        <f t="shared" si="0"/>
        <v>17.594534008153154</v>
      </c>
      <c r="AJ4">
        <f t="shared" si="0"/>
        <v>17.791592789044472</v>
      </c>
      <c r="AK4">
        <f t="shared" si="0"/>
        <v>17.990858628281771</v>
      </c>
      <c r="AL4">
        <f t="shared" si="0"/>
        <v>18.192356244918528</v>
      </c>
      <c r="AM4">
        <f t="shared" si="0"/>
        <v>18.396110634861618</v>
      </c>
      <c r="AN4">
        <f t="shared" si="0"/>
        <v>18.60214707397207</v>
      </c>
      <c r="AO4">
        <f t="shared" si="0"/>
        <v>18.81049112120056</v>
      </c>
      <c r="AP4">
        <f t="shared" si="0"/>
        <v>19.021168621758008</v>
      </c>
      <c r="AQ4">
        <f t="shared" si="0"/>
        <v>19.234205710321699</v>
      </c>
      <c r="AR4">
        <f t="shared" si="0"/>
        <v>19.449628814277304</v>
      </c>
      <c r="AS4">
        <f t="shared" si="0"/>
        <v>19.667464656997211</v>
      </c>
      <c r="AT4">
        <f t="shared" si="0"/>
        <v>19.887740261155582</v>
      </c>
      <c r="AU4">
        <f t="shared" si="0"/>
        <v>20.110482952080527</v>
      </c>
      <c r="AV4">
        <f t="shared" si="0"/>
        <v>20.335720361143832</v>
      </c>
      <c r="AW4">
        <f t="shared" si="0"/>
        <v>20.563480429188644</v>
      </c>
      <c r="AX4">
        <f t="shared" si="0"/>
        <v>20.79379140999556</v>
      </c>
      <c r="AY4">
        <f t="shared" si="0"/>
        <v>21.026681873787513</v>
      </c>
      <c r="AZ4">
        <f t="shared" si="0"/>
        <v>21.262180710773936</v>
      </c>
      <c r="BA4">
        <f t="shared" si="0"/>
        <v>21.500317134734608</v>
      </c>
      <c r="BB4">
        <f t="shared" si="0"/>
        <v>21.741120686643637</v>
      </c>
      <c r="BC4">
        <f t="shared" si="0"/>
        <v>21.984621238334046</v>
      </c>
      <c r="BD4">
        <f t="shared" si="0"/>
        <v>22.230848996203392</v>
      </c>
      <c r="BE4">
        <f t="shared" si="0"/>
        <v>22.342003241184408</v>
      </c>
      <c r="BF4">
        <f t="shared" si="0"/>
        <v>22.453713257390326</v>
      </c>
      <c r="BG4">
        <f t="shared" si="0"/>
        <v>22.565981823677276</v>
      </c>
      <c r="BH4">
        <f t="shared" si="0"/>
        <v>22.678811732795662</v>
      </c>
      <c r="BI4">
        <f t="shared" si="0"/>
        <v>22.792205791459637</v>
      </c>
      <c r="BJ4">
        <f t="shared" si="0"/>
        <v>22.906166820416932</v>
      </c>
      <c r="BK4">
        <f t="shared" si="0"/>
        <v>23.020697654519015</v>
      </c>
      <c r="BL4">
        <f t="shared" si="0"/>
        <v>23.135801142791607</v>
      </c>
      <c r="BM4">
        <f t="shared" si="0"/>
        <v>23.251480148505561</v>
      </c>
      <c r="BN4">
        <f t="shared" si="0"/>
        <v>23.367737549248087</v>
      </c>
      <c r="BO4">
        <f t="shared" si="0"/>
        <v>23.484576236994325</v>
      </c>
      <c r="BP4">
        <f t="shared" ref="BP4:EA4" si="1">BO4*(1+BP5)</f>
        <v>23.601999118179293</v>
      </c>
      <c r="BQ4">
        <f t="shared" si="1"/>
        <v>23.720009113770185</v>
      </c>
      <c r="BR4">
        <f t="shared" si="1"/>
        <v>23.838609159339033</v>
      </c>
      <c r="BS4">
        <f t="shared" si="1"/>
        <v>23.957802205135724</v>
      </c>
      <c r="BT4">
        <f t="shared" si="1"/>
        <v>24.077591216161402</v>
      </c>
      <c r="BU4">
        <f t="shared" si="1"/>
        <v>24.197979172242206</v>
      </c>
      <c r="BV4">
        <f t="shared" si="1"/>
        <v>24.318969068103414</v>
      </c>
      <c r="BW4">
        <f t="shared" si="1"/>
        <v>24.440563913443928</v>
      </c>
      <c r="BX4">
        <f t="shared" si="1"/>
        <v>24.383535930979225</v>
      </c>
      <c r="BY4">
        <f t="shared" si="1"/>
        <v>24.326641013806942</v>
      </c>
      <c r="BZ4">
        <f t="shared" si="1"/>
        <v>24.269878851441394</v>
      </c>
      <c r="CA4">
        <f t="shared" si="1"/>
        <v>24.213249134121366</v>
      </c>
      <c r="CB4">
        <f t="shared" si="1"/>
        <v>24.156751552808416</v>
      </c>
      <c r="CC4">
        <f t="shared" si="1"/>
        <v>24.100385799185197</v>
      </c>
      <c r="CD4">
        <f t="shared" si="1"/>
        <v>24.044151565653767</v>
      </c>
      <c r="CE4">
        <f t="shared" si="1"/>
        <v>23.988048545333911</v>
      </c>
      <c r="CF4">
        <f t="shared" si="1"/>
        <v>23.932076432061464</v>
      </c>
      <c r="CG4">
        <f t="shared" si="1"/>
        <v>23.876234920386654</v>
      </c>
      <c r="CH4">
        <f t="shared" si="1"/>
        <v>23.82052370557242</v>
      </c>
      <c r="CI4">
        <f t="shared" si="1"/>
        <v>23.764942483592751</v>
      </c>
      <c r="CJ4">
        <f t="shared" si="1"/>
        <v>23.709490951131034</v>
      </c>
      <c r="CK4">
        <f t="shared" si="1"/>
        <v>23.654168805578397</v>
      </c>
      <c r="CL4">
        <f t="shared" si="1"/>
        <v>23.59897574503205</v>
      </c>
      <c r="CM4">
        <f t="shared" si="1"/>
        <v>23.543911468293643</v>
      </c>
      <c r="CN4">
        <f t="shared" si="1"/>
        <v>23.488975674867625</v>
      </c>
      <c r="CO4">
        <f t="shared" si="1"/>
        <v>23.4341680649596</v>
      </c>
      <c r="CP4">
        <f t="shared" si="1"/>
        <v>23.379488339474694</v>
      </c>
      <c r="CQ4">
        <f t="shared" si="1"/>
        <v>23.324936200015919</v>
      </c>
      <c r="CR4">
        <f t="shared" si="1"/>
        <v>23.27051134888255</v>
      </c>
      <c r="CS4">
        <f t="shared" si="1"/>
        <v>23.21621348906849</v>
      </c>
      <c r="CT4">
        <f t="shared" si="1"/>
        <v>23.162042324260664</v>
      </c>
      <c r="CU4">
        <f t="shared" si="1"/>
        <v>23.10799755883739</v>
      </c>
      <c r="CV4">
        <f t="shared" si="1"/>
        <v>23.05407889786677</v>
      </c>
      <c r="CW4">
        <f t="shared" si="1"/>
        <v>23.000286047105082</v>
      </c>
      <c r="CX4">
        <f t="shared" si="1"/>
        <v>22.946618712995171</v>
      </c>
      <c r="CY4">
        <f t="shared" si="1"/>
        <v>22.893076602664848</v>
      </c>
      <c r="CZ4">
        <f t="shared" si="1"/>
        <v>22.839659423925298</v>
      </c>
      <c r="DA4">
        <f t="shared" si="1"/>
        <v>22.786366885269473</v>
      </c>
      <c r="DB4">
        <f t="shared" si="1"/>
        <v>22.733198695870513</v>
      </c>
      <c r="DC4">
        <f t="shared" si="1"/>
        <v>22.68015456558015</v>
      </c>
      <c r="DD4">
        <f t="shared" si="1"/>
        <v>22.627234204927131</v>
      </c>
      <c r="DE4">
        <f t="shared" si="1"/>
        <v>22.574437325115635</v>
      </c>
      <c r="DF4">
        <f t="shared" si="1"/>
        <v>22.5217636380237</v>
      </c>
      <c r="DG4">
        <f t="shared" si="1"/>
        <v>22.469212856201644</v>
      </c>
      <c r="DH4">
        <f t="shared" si="1"/>
        <v>22.416784692870507</v>
      </c>
      <c r="DI4">
        <f t="shared" si="1"/>
        <v>22.364478861920478</v>
      </c>
      <c r="DJ4">
        <f t="shared" si="1"/>
        <v>22.312295077909329</v>
      </c>
      <c r="DK4">
        <f t="shared" si="1"/>
        <v>22.260233056060876</v>
      </c>
      <c r="DL4">
        <f t="shared" si="1"/>
        <v>22.208292512263402</v>
      </c>
      <c r="DM4">
        <f t="shared" si="1"/>
        <v>22.156473163068121</v>
      </c>
      <c r="DN4">
        <f t="shared" si="1"/>
        <v>22.10477472568763</v>
      </c>
      <c r="DO4">
        <f t="shared" si="1"/>
        <v>22.053196917994359</v>
      </c>
      <c r="DP4">
        <f t="shared" si="1"/>
        <v>22.00173945851904</v>
      </c>
      <c r="DQ4">
        <f t="shared" si="1"/>
        <v>21.950402066449165</v>
      </c>
      <c r="DR4">
        <f t="shared" si="1"/>
        <v>21.899184461627449</v>
      </c>
      <c r="DS4">
        <f t="shared" si="1"/>
        <v>21.848086364550319</v>
      </c>
      <c r="DT4">
        <f t="shared" si="1"/>
        <v>21.797107496366369</v>
      </c>
      <c r="DU4">
        <f t="shared" si="1"/>
        <v>21.746247578874847</v>
      </c>
      <c r="DV4">
        <f t="shared" si="1"/>
        <v>21.69550633452414</v>
      </c>
      <c r="DW4">
        <f t="shared" si="1"/>
        <v>21.644883486410251</v>
      </c>
      <c r="DX4">
        <f t="shared" si="1"/>
        <v>21.594378758275294</v>
      </c>
      <c r="DY4">
        <f t="shared" si="1"/>
        <v>21.543991874505984</v>
      </c>
      <c r="DZ4">
        <f t="shared" si="1"/>
        <v>21.493722560132138</v>
      </c>
      <c r="EA4">
        <f t="shared" si="1"/>
        <v>21.443570540825164</v>
      </c>
      <c r="EB4">
        <f t="shared" ref="EB4:GM4" si="2">EA4*(1+EB5)</f>
        <v>21.393535542896572</v>
      </c>
      <c r="EC4">
        <f t="shared" si="2"/>
        <v>21.343617293296482</v>
      </c>
      <c r="ED4">
        <f t="shared" si="2"/>
        <v>21.293815519612124</v>
      </c>
      <c r="EE4">
        <f t="shared" si="2"/>
        <v>21.244129950066363</v>
      </c>
      <c r="EF4">
        <f t="shared" si="2"/>
        <v>21.19456031351621</v>
      </c>
      <c r="EG4">
        <f t="shared" si="2"/>
        <v>21.145106339451338</v>
      </c>
      <c r="EH4">
        <f t="shared" si="2"/>
        <v>21.095767757992618</v>
      </c>
      <c r="EI4">
        <f t="shared" si="2"/>
        <v>21.046544299890638</v>
      </c>
      <c r="EJ4">
        <f t="shared" si="2"/>
        <v>20.997435696524228</v>
      </c>
      <c r="EK4">
        <f t="shared" si="2"/>
        <v>20.948441679899005</v>
      </c>
      <c r="EL4">
        <f t="shared" si="2"/>
        <v>20.89956198264591</v>
      </c>
      <c r="EM4">
        <f t="shared" si="2"/>
        <v>20.850796338019737</v>
      </c>
      <c r="EN4">
        <f t="shared" si="2"/>
        <v>20.802144479897692</v>
      </c>
      <c r="EO4">
        <f t="shared" si="2"/>
        <v>20.753606142777929</v>
      </c>
      <c r="EP4">
        <f t="shared" si="2"/>
        <v>20.705181061778116</v>
      </c>
      <c r="EQ4">
        <f t="shared" si="2"/>
        <v>20.656868972633969</v>
      </c>
      <c r="ER4">
        <f t="shared" si="2"/>
        <v>20.608669611697824</v>
      </c>
      <c r="ES4">
        <f t="shared" si="2"/>
        <v>20.560582715937198</v>
      </c>
      <c r="ET4">
        <f t="shared" si="2"/>
        <v>20.512608022933346</v>
      </c>
      <c r="EU4">
        <f t="shared" si="2"/>
        <v>20.464745270879835</v>
      </c>
      <c r="EV4">
        <f t="shared" si="2"/>
        <v>20.416994198581115</v>
      </c>
      <c r="EW4">
        <f t="shared" si="2"/>
        <v>20.369354545451092</v>
      </c>
      <c r="EX4">
        <f t="shared" si="2"/>
        <v>20.321826051511707</v>
      </c>
      <c r="EY4">
        <f t="shared" si="2"/>
        <v>20.274408457391512</v>
      </c>
      <c r="EZ4">
        <f t="shared" si="2"/>
        <v>20.227101504324267</v>
      </c>
      <c r="FA4">
        <f t="shared" si="2"/>
        <v>20.179904934147512</v>
      </c>
      <c r="FB4">
        <f t="shared" si="2"/>
        <v>20.132818489301169</v>
      </c>
      <c r="FC4">
        <f t="shared" si="2"/>
        <v>20.085841912826133</v>
      </c>
      <c r="FD4">
        <f t="shared" si="2"/>
        <v>20.038974948362874</v>
      </c>
      <c r="FE4">
        <f t="shared" si="2"/>
        <v>19.992217340150027</v>
      </c>
      <c r="FF4">
        <f t="shared" si="2"/>
        <v>19.94556883302301</v>
      </c>
      <c r="FG4">
        <f t="shared" si="2"/>
        <v>19.899029172412625</v>
      </c>
      <c r="FH4">
        <f t="shared" si="2"/>
        <v>19.852598104343663</v>
      </c>
      <c r="FI4">
        <f t="shared" si="2"/>
        <v>19.806275375433529</v>
      </c>
      <c r="FJ4">
        <f t="shared" si="2"/>
        <v>19.760060732890853</v>
      </c>
      <c r="FK4">
        <f t="shared" si="2"/>
        <v>19.713953924514108</v>
      </c>
      <c r="FL4">
        <f t="shared" si="2"/>
        <v>19.667954698690242</v>
      </c>
      <c r="FM4">
        <f t="shared" si="2"/>
        <v>19.622062804393298</v>
      </c>
      <c r="FN4">
        <f t="shared" si="2"/>
        <v>19.576277991183048</v>
      </c>
      <c r="FO4">
        <f t="shared" si="2"/>
        <v>19.530600009203621</v>
      </c>
      <c r="FP4">
        <f t="shared" si="2"/>
        <v>19.485028609182145</v>
      </c>
      <c r="FQ4">
        <f t="shared" si="2"/>
        <v>19.439563542427386</v>
      </c>
      <c r="FR4">
        <f t="shared" si="2"/>
        <v>19.394204560828388</v>
      </c>
      <c r="FS4">
        <f t="shared" si="2"/>
        <v>19.348951416853122</v>
      </c>
      <c r="FT4">
        <f t="shared" si="2"/>
        <v>19.303803863547131</v>
      </c>
      <c r="FU4">
        <f t="shared" si="2"/>
        <v>19.25876165453219</v>
      </c>
      <c r="FV4">
        <f t="shared" si="2"/>
        <v>19.21382454400495</v>
      </c>
      <c r="FW4">
        <f t="shared" si="2"/>
        <v>19.168992286735605</v>
      </c>
      <c r="FX4">
        <f t="shared" si="2"/>
        <v>19.124264638066556</v>
      </c>
      <c r="FY4">
        <f t="shared" si="2"/>
        <v>19.079641353911068</v>
      </c>
      <c r="FZ4">
        <f t="shared" si="2"/>
        <v>19.035122190751942</v>
      </c>
      <c r="GA4">
        <f t="shared" si="2"/>
        <v>18.990706905640188</v>
      </c>
      <c r="GB4">
        <f t="shared" si="2"/>
        <v>18.946395256193696</v>
      </c>
      <c r="GC4">
        <f t="shared" si="2"/>
        <v>18.902187000595912</v>
      </c>
      <c r="GD4">
        <f t="shared" si="2"/>
        <v>18.858081897594523</v>
      </c>
      <c r="GE4">
        <f t="shared" si="2"/>
        <v>18.814079706500138</v>
      </c>
      <c r="GF4">
        <f t="shared" si="2"/>
        <v>18.770180187184973</v>
      </c>
      <c r="GG4">
        <f t="shared" si="2"/>
        <v>18.726383100081541</v>
      </c>
      <c r="GH4">
        <f t="shared" si="2"/>
        <v>18.682688206181354</v>
      </c>
      <c r="GI4">
        <f t="shared" si="2"/>
        <v>18.639095267033596</v>
      </c>
      <c r="GJ4">
        <f t="shared" si="2"/>
        <v>18.595604044743851</v>
      </c>
      <c r="GK4">
        <f t="shared" si="2"/>
        <v>18.552214301972782</v>
      </c>
      <c r="GL4">
        <f t="shared" si="2"/>
        <v>18.508925801934847</v>
      </c>
      <c r="GM4">
        <f t="shared" si="2"/>
        <v>18.465738308397</v>
      </c>
      <c r="GN4">
        <f t="shared" ref="GN4:IY4" si="3">GM4*(1+GN5)</f>
        <v>18.422651585677407</v>
      </c>
      <c r="GO4">
        <f t="shared" si="3"/>
        <v>18.37966539864416</v>
      </c>
      <c r="GP4">
        <f t="shared" si="3"/>
        <v>18.336779512713992</v>
      </c>
      <c r="GQ4">
        <f t="shared" si="3"/>
        <v>18.293993693850993</v>
      </c>
      <c r="GR4">
        <f t="shared" si="3"/>
        <v>18.251307708565342</v>
      </c>
      <c r="GS4">
        <f t="shared" si="3"/>
        <v>18.208721323912023</v>
      </c>
      <c r="GT4">
        <f t="shared" si="3"/>
        <v>18.166234307489564</v>
      </c>
      <c r="GU4">
        <f t="shared" si="3"/>
        <v>18.123846427438757</v>
      </c>
      <c r="GV4">
        <f t="shared" si="3"/>
        <v>18.081557452441402</v>
      </c>
      <c r="GW4">
        <f t="shared" si="3"/>
        <v>18.039367151719038</v>
      </c>
      <c r="GX4">
        <f t="shared" si="3"/>
        <v>17.997275295031695</v>
      </c>
      <c r="GY4">
        <f t="shared" si="3"/>
        <v>17.955281652676621</v>
      </c>
      <c r="GZ4">
        <f t="shared" si="3"/>
        <v>17.913385995487044</v>
      </c>
      <c r="HA4">
        <f t="shared" si="3"/>
        <v>17.871588094830908</v>
      </c>
      <c r="HB4">
        <f t="shared" si="3"/>
        <v>17.829887722609637</v>
      </c>
      <c r="HC4">
        <f t="shared" si="3"/>
        <v>17.78828465125688</v>
      </c>
      <c r="HD4">
        <f t="shared" si="3"/>
        <v>17.74677865373728</v>
      </c>
      <c r="HE4">
        <f t="shared" si="3"/>
        <v>17.705369503545228</v>
      </c>
      <c r="HF4">
        <f t="shared" si="3"/>
        <v>17.664056974703623</v>
      </c>
      <c r="HG4">
        <f t="shared" si="3"/>
        <v>17.622840841762649</v>
      </c>
      <c r="HH4">
        <f t="shared" si="3"/>
        <v>17.581720879798535</v>
      </c>
      <c r="HI4">
        <f t="shared" si="3"/>
        <v>17.54069686441234</v>
      </c>
      <c r="HJ4">
        <f t="shared" si="3"/>
        <v>17.499768571728712</v>
      </c>
      <c r="HK4">
        <f t="shared" si="3"/>
        <v>17.458935778394679</v>
      </c>
      <c r="HL4">
        <f t="shared" si="3"/>
        <v>17.418198261578425</v>
      </c>
      <c r="HM4">
        <f t="shared" si="3"/>
        <v>17.377555798968075</v>
      </c>
      <c r="HN4">
        <f t="shared" si="3"/>
        <v>17.337008168770485</v>
      </c>
      <c r="HO4">
        <f t="shared" si="3"/>
        <v>17.29655514971002</v>
      </c>
      <c r="HP4">
        <f t="shared" si="3"/>
        <v>17.256196521027363</v>
      </c>
      <c r="HQ4">
        <f t="shared" si="3"/>
        <v>17.215932062478299</v>
      </c>
      <c r="HR4">
        <f t="shared" si="3"/>
        <v>17.175761554332517</v>
      </c>
      <c r="HS4">
        <f t="shared" si="3"/>
        <v>17.135684777372408</v>
      </c>
      <c r="HT4">
        <f t="shared" si="3"/>
        <v>17.095701512891871</v>
      </c>
      <c r="HU4">
        <f t="shared" si="3"/>
        <v>17.055811542695125</v>
      </c>
      <c r="HV4">
        <f t="shared" si="3"/>
        <v>17.016014649095503</v>
      </c>
      <c r="HW4">
        <f t="shared" si="3"/>
        <v>16.976310614914279</v>
      </c>
      <c r="HX4">
        <f t="shared" si="3"/>
        <v>16.936699223479479</v>
      </c>
      <c r="HY4">
        <f t="shared" si="3"/>
        <v>16.897180258624694</v>
      </c>
      <c r="HZ4">
        <f t="shared" si="3"/>
        <v>16.857753504687903</v>
      </c>
      <c r="IA4">
        <f t="shared" si="3"/>
        <v>16.818418746510297</v>
      </c>
      <c r="IB4">
        <f t="shared" si="3"/>
        <v>16.779175769435106</v>
      </c>
      <c r="IC4">
        <f t="shared" si="3"/>
        <v>16.740024359306425</v>
      </c>
      <c r="ID4">
        <f t="shared" si="3"/>
        <v>16.700964302468044</v>
      </c>
      <c r="IE4">
        <f t="shared" si="3"/>
        <v>16.661995385762285</v>
      </c>
      <c r="IF4">
        <f t="shared" si="3"/>
        <v>16.623117396528841</v>
      </c>
      <c r="IG4">
        <f t="shared" si="3"/>
        <v>16.584330122603607</v>
      </c>
      <c r="IH4">
        <f t="shared" si="3"/>
        <v>16.545633352317534</v>
      </c>
      <c r="II4">
        <f t="shared" si="3"/>
        <v>16.507026874495459</v>
      </c>
      <c r="IJ4">
        <f t="shared" si="3"/>
        <v>16.46851047845497</v>
      </c>
      <c r="IK4">
        <f t="shared" si="3"/>
        <v>16.430083954005241</v>
      </c>
      <c r="IL4">
        <f t="shared" si="3"/>
        <v>16.391747091445897</v>
      </c>
      <c r="IM4">
        <f t="shared" si="3"/>
        <v>16.353499681565857</v>
      </c>
      <c r="IN4">
        <f t="shared" si="3"/>
        <v>16.315341515642203</v>
      </c>
      <c r="IO4">
        <f t="shared" si="3"/>
        <v>16.277272385439037</v>
      </c>
      <c r="IP4">
        <f t="shared" si="3"/>
        <v>16.239292083206347</v>
      </c>
      <c r="IQ4">
        <f t="shared" si="3"/>
        <v>16.201400401678868</v>
      </c>
      <c r="IR4">
        <f t="shared" si="3"/>
        <v>16.163597134074951</v>
      </c>
      <c r="IS4">
        <f t="shared" si="3"/>
        <v>16.125882074095443</v>
      </c>
      <c r="IT4">
        <f t="shared" si="3"/>
        <v>16.088255015922556</v>
      </c>
      <c r="IU4">
        <f t="shared" si="3"/>
        <v>16.050715754218736</v>
      </c>
      <c r="IV4">
        <f t="shared" si="3"/>
        <v>16.013264084125559</v>
      </c>
      <c r="IW4">
        <f t="shared" si="3"/>
        <v>15.975899801262599</v>
      </c>
      <c r="IX4">
        <f t="shared" si="3"/>
        <v>15.93862270172632</v>
      </c>
      <c r="IY4">
        <f t="shared" si="3"/>
        <v>15.90143258208896</v>
      </c>
      <c r="IZ4">
        <f t="shared" ref="IZ4:KO4" si="4">IY4*(1+IZ5)</f>
        <v>15.864329239397419</v>
      </c>
      <c r="JA4">
        <f t="shared" si="4"/>
        <v>15.827312471172158</v>
      </c>
      <c r="JB4">
        <f t="shared" si="4"/>
        <v>15.790382075406091</v>
      </c>
      <c r="JC4">
        <f t="shared" si="4"/>
        <v>15.753537850563477</v>
      </c>
      <c r="JD4">
        <f t="shared" si="4"/>
        <v>15.71677959557883</v>
      </c>
      <c r="JE4">
        <f t="shared" si="4"/>
        <v>15.680107109855813</v>
      </c>
      <c r="JF4">
        <f t="shared" si="4"/>
        <v>15.64352019326615</v>
      </c>
      <c r="JG4">
        <f t="shared" si="4"/>
        <v>15.60701864614853</v>
      </c>
      <c r="JH4">
        <f t="shared" si="4"/>
        <v>15.570602269307518</v>
      </c>
      <c r="JI4">
        <f t="shared" si="4"/>
        <v>15.534270864012468</v>
      </c>
      <c r="JJ4">
        <f t="shared" si="4"/>
        <v>15.498024231996439</v>
      </c>
      <c r="JK4">
        <f t="shared" si="4"/>
        <v>15.461862175455115</v>
      </c>
      <c r="JL4">
        <f t="shared" si="4"/>
        <v>15.42578449704572</v>
      </c>
      <c r="JM4">
        <f t="shared" si="4"/>
        <v>15.389790999885948</v>
      </c>
      <c r="JN4">
        <f t="shared" si="4"/>
        <v>15.353881487552881</v>
      </c>
      <c r="JO4">
        <f t="shared" si="4"/>
        <v>15.318055764081924</v>
      </c>
      <c r="JP4">
        <f t="shared" si="4"/>
        <v>15.282313633965734</v>
      </c>
      <c r="JQ4">
        <f t="shared" si="4"/>
        <v>15.246654902153148</v>
      </c>
      <c r="JR4">
        <f t="shared" si="4"/>
        <v>15.211079374048124</v>
      </c>
      <c r="JS4">
        <f t="shared" si="4"/>
        <v>15.175586855508678</v>
      </c>
      <c r="JT4">
        <f t="shared" si="4"/>
        <v>15.140177152845824</v>
      </c>
      <c r="JU4">
        <f t="shared" si="4"/>
        <v>15.104850072822519</v>
      </c>
      <c r="JV4">
        <f t="shared" si="4"/>
        <v>15.0696054226526</v>
      </c>
      <c r="JW4">
        <f t="shared" si="4"/>
        <v>15.034443009999745</v>
      </c>
      <c r="JX4">
        <f t="shared" si="4"/>
        <v>14.999362642976413</v>
      </c>
      <c r="JY4">
        <f t="shared" si="4"/>
        <v>14.964364130142801</v>
      </c>
      <c r="JZ4">
        <f t="shared" si="4"/>
        <v>14.929447280505801</v>
      </c>
      <c r="KA4">
        <f t="shared" si="4"/>
        <v>14.894611903517955</v>
      </c>
      <c r="KB4">
        <f t="shared" si="4"/>
        <v>14.859857809076413</v>
      </c>
      <c r="KC4">
        <f t="shared" si="4"/>
        <v>14.825184807521902</v>
      </c>
      <c r="KD4">
        <f t="shared" si="4"/>
        <v>14.790592709637684</v>
      </c>
      <c r="KE4">
        <f t="shared" si="4"/>
        <v>14.75608132664853</v>
      </c>
      <c r="KF4">
        <f t="shared" si="4"/>
        <v>14.721650470219684</v>
      </c>
      <c r="KG4">
        <f t="shared" si="4"/>
        <v>14.687299952455838</v>
      </c>
      <c r="KH4">
        <f t="shared" si="4"/>
        <v>14.653029585900109</v>
      </c>
      <c r="KI4">
        <f t="shared" si="4"/>
        <v>14.618839183533009</v>
      </c>
      <c r="KJ4">
        <f t="shared" si="4"/>
        <v>14.584728558771433</v>
      </c>
      <c r="KK4">
        <f t="shared" si="4"/>
        <v>14.550697525467633</v>
      </c>
      <c r="KL4">
        <f t="shared" si="4"/>
        <v>14.51674589790821</v>
      </c>
      <c r="KM4">
        <f t="shared" si="4"/>
        <v>14.482873490813091</v>
      </c>
      <c r="KN4">
        <f t="shared" si="4"/>
        <v>14.449080119334528</v>
      </c>
      <c r="KO4">
        <f t="shared" si="4"/>
        <v>14.415365599056083</v>
      </c>
    </row>
    <row r="5" spans="1:366" x14ac:dyDescent="0.2">
      <c r="A5" t="s">
        <v>301</v>
      </c>
      <c r="C5" s="793">
        <v>1.12E-2</v>
      </c>
      <c r="D5" s="799">
        <f>C5</f>
        <v>1.12E-2</v>
      </c>
      <c r="E5" s="799">
        <f t="shared" ref="E5:BD5" si="5">D5</f>
        <v>1.12E-2</v>
      </c>
      <c r="F5" s="799">
        <f t="shared" si="5"/>
        <v>1.12E-2</v>
      </c>
      <c r="G5" s="799">
        <f t="shared" si="5"/>
        <v>1.12E-2</v>
      </c>
      <c r="H5" s="799">
        <f t="shared" si="5"/>
        <v>1.12E-2</v>
      </c>
      <c r="I5" s="799">
        <f t="shared" si="5"/>
        <v>1.12E-2</v>
      </c>
      <c r="J5" s="799">
        <f t="shared" si="5"/>
        <v>1.12E-2</v>
      </c>
      <c r="K5" s="799">
        <f t="shared" si="5"/>
        <v>1.12E-2</v>
      </c>
      <c r="L5" s="799">
        <f t="shared" si="5"/>
        <v>1.12E-2</v>
      </c>
      <c r="M5" s="799">
        <f t="shared" si="5"/>
        <v>1.12E-2</v>
      </c>
      <c r="N5" s="799">
        <f t="shared" si="5"/>
        <v>1.12E-2</v>
      </c>
      <c r="O5" s="799">
        <f t="shared" si="5"/>
        <v>1.12E-2</v>
      </c>
      <c r="P5" s="799">
        <f t="shared" si="5"/>
        <v>1.12E-2</v>
      </c>
      <c r="Q5" s="799">
        <f t="shared" si="5"/>
        <v>1.12E-2</v>
      </c>
      <c r="R5" s="799">
        <f t="shared" si="5"/>
        <v>1.12E-2</v>
      </c>
      <c r="S5" s="799">
        <f t="shared" si="5"/>
        <v>1.12E-2</v>
      </c>
      <c r="T5" s="799">
        <f t="shared" si="5"/>
        <v>1.12E-2</v>
      </c>
      <c r="U5" s="799">
        <f t="shared" si="5"/>
        <v>1.12E-2</v>
      </c>
      <c r="V5" s="799">
        <f t="shared" si="5"/>
        <v>1.12E-2</v>
      </c>
      <c r="W5" s="799">
        <f t="shared" si="5"/>
        <v>1.12E-2</v>
      </c>
      <c r="X5" s="799">
        <f t="shared" si="5"/>
        <v>1.12E-2</v>
      </c>
      <c r="Y5" s="799">
        <f t="shared" si="5"/>
        <v>1.12E-2</v>
      </c>
      <c r="Z5" s="799">
        <f t="shared" si="5"/>
        <v>1.12E-2</v>
      </c>
      <c r="AA5" s="799">
        <f t="shared" si="5"/>
        <v>1.12E-2</v>
      </c>
      <c r="AB5" s="799">
        <f t="shared" si="5"/>
        <v>1.12E-2</v>
      </c>
      <c r="AC5" s="799">
        <f t="shared" si="5"/>
        <v>1.12E-2</v>
      </c>
      <c r="AD5" s="799">
        <f t="shared" si="5"/>
        <v>1.12E-2</v>
      </c>
      <c r="AE5" s="799">
        <f t="shared" si="5"/>
        <v>1.12E-2</v>
      </c>
      <c r="AF5" s="799">
        <f t="shared" si="5"/>
        <v>1.12E-2</v>
      </c>
      <c r="AG5" s="799">
        <f t="shared" si="5"/>
        <v>1.12E-2</v>
      </c>
      <c r="AH5" s="799">
        <f t="shared" si="5"/>
        <v>1.12E-2</v>
      </c>
      <c r="AI5" s="799">
        <f t="shared" si="5"/>
        <v>1.12E-2</v>
      </c>
      <c r="AJ5" s="799">
        <f t="shared" si="5"/>
        <v>1.12E-2</v>
      </c>
      <c r="AK5" s="799">
        <f t="shared" si="5"/>
        <v>1.12E-2</v>
      </c>
      <c r="AL5" s="799">
        <f t="shared" si="5"/>
        <v>1.12E-2</v>
      </c>
      <c r="AM5" s="799">
        <f t="shared" si="5"/>
        <v>1.12E-2</v>
      </c>
      <c r="AN5" s="799">
        <f t="shared" si="5"/>
        <v>1.12E-2</v>
      </c>
      <c r="AO5" s="799">
        <f t="shared" si="5"/>
        <v>1.12E-2</v>
      </c>
      <c r="AP5" s="799">
        <f t="shared" si="5"/>
        <v>1.12E-2</v>
      </c>
      <c r="AQ5" s="799">
        <f t="shared" si="5"/>
        <v>1.12E-2</v>
      </c>
      <c r="AR5" s="799">
        <f t="shared" si="5"/>
        <v>1.12E-2</v>
      </c>
      <c r="AS5" s="799">
        <f t="shared" si="5"/>
        <v>1.12E-2</v>
      </c>
      <c r="AT5" s="799">
        <f t="shared" si="5"/>
        <v>1.12E-2</v>
      </c>
      <c r="AU5" s="799">
        <f t="shared" si="5"/>
        <v>1.12E-2</v>
      </c>
      <c r="AV5" s="799">
        <f t="shared" si="5"/>
        <v>1.12E-2</v>
      </c>
      <c r="AW5" s="799">
        <f t="shared" si="5"/>
        <v>1.12E-2</v>
      </c>
      <c r="AX5" s="799">
        <f t="shared" si="5"/>
        <v>1.12E-2</v>
      </c>
      <c r="AY5" s="799">
        <f t="shared" si="5"/>
        <v>1.12E-2</v>
      </c>
      <c r="AZ5" s="799">
        <f t="shared" si="5"/>
        <v>1.12E-2</v>
      </c>
      <c r="BA5" s="799">
        <f t="shared" si="5"/>
        <v>1.12E-2</v>
      </c>
      <c r="BB5" s="799">
        <f t="shared" si="5"/>
        <v>1.12E-2</v>
      </c>
      <c r="BC5" s="799">
        <f t="shared" si="5"/>
        <v>1.12E-2</v>
      </c>
      <c r="BD5" s="799">
        <f t="shared" si="5"/>
        <v>1.12E-2</v>
      </c>
      <c r="BE5" s="799">
        <f>0.1/20</f>
        <v>5.0000000000000001E-3</v>
      </c>
      <c r="BF5" s="799">
        <f>BE5</f>
        <v>5.0000000000000001E-3</v>
      </c>
      <c r="BG5" s="799">
        <f t="shared" ref="BG5:BW5" si="6">BF5</f>
        <v>5.0000000000000001E-3</v>
      </c>
      <c r="BH5" s="799">
        <f t="shared" si="6"/>
        <v>5.0000000000000001E-3</v>
      </c>
      <c r="BI5" s="799">
        <f t="shared" si="6"/>
        <v>5.0000000000000001E-3</v>
      </c>
      <c r="BJ5" s="799">
        <f t="shared" si="6"/>
        <v>5.0000000000000001E-3</v>
      </c>
      <c r="BK5" s="799">
        <f t="shared" si="6"/>
        <v>5.0000000000000001E-3</v>
      </c>
      <c r="BL5" s="799">
        <f t="shared" si="6"/>
        <v>5.0000000000000001E-3</v>
      </c>
      <c r="BM5" s="799">
        <f t="shared" si="6"/>
        <v>5.0000000000000001E-3</v>
      </c>
      <c r="BN5" s="799">
        <f t="shared" si="6"/>
        <v>5.0000000000000001E-3</v>
      </c>
      <c r="BO5" s="799">
        <f t="shared" si="6"/>
        <v>5.0000000000000001E-3</v>
      </c>
      <c r="BP5" s="799">
        <f t="shared" si="6"/>
        <v>5.0000000000000001E-3</v>
      </c>
      <c r="BQ5" s="799">
        <f t="shared" si="6"/>
        <v>5.0000000000000001E-3</v>
      </c>
      <c r="BR5" s="799">
        <f t="shared" si="6"/>
        <v>5.0000000000000001E-3</v>
      </c>
      <c r="BS5" s="799">
        <f t="shared" si="6"/>
        <v>5.0000000000000001E-3</v>
      </c>
      <c r="BT5" s="799">
        <f t="shared" si="6"/>
        <v>5.0000000000000001E-3</v>
      </c>
      <c r="BU5" s="799">
        <f t="shared" si="6"/>
        <v>5.0000000000000001E-3</v>
      </c>
      <c r="BV5" s="799">
        <f t="shared" si="6"/>
        <v>5.0000000000000001E-3</v>
      </c>
      <c r="BW5" s="799">
        <f t="shared" si="6"/>
        <v>5.0000000000000001E-3</v>
      </c>
      <c r="BX5" s="800">
        <f>-B11/30</f>
        <v>-2.3333333333333335E-3</v>
      </c>
      <c r="BY5" s="800">
        <f t="shared" ref="BY5:EJ5" si="7">-0.07/30</f>
        <v>-2.3333333333333335E-3</v>
      </c>
      <c r="BZ5" s="800">
        <f t="shared" si="7"/>
        <v>-2.3333333333333335E-3</v>
      </c>
      <c r="CA5" s="800">
        <f t="shared" si="7"/>
        <v>-2.3333333333333335E-3</v>
      </c>
      <c r="CB5" s="800">
        <f t="shared" si="7"/>
        <v>-2.3333333333333335E-3</v>
      </c>
      <c r="CC5" s="800">
        <f t="shared" si="7"/>
        <v>-2.3333333333333335E-3</v>
      </c>
      <c r="CD5" s="800">
        <f t="shared" si="7"/>
        <v>-2.3333333333333335E-3</v>
      </c>
      <c r="CE5" s="800">
        <f t="shared" si="7"/>
        <v>-2.3333333333333335E-3</v>
      </c>
      <c r="CF5" s="800">
        <f t="shared" si="7"/>
        <v>-2.3333333333333335E-3</v>
      </c>
      <c r="CG5" s="800">
        <f t="shared" si="7"/>
        <v>-2.3333333333333335E-3</v>
      </c>
      <c r="CH5" s="800">
        <f t="shared" si="7"/>
        <v>-2.3333333333333335E-3</v>
      </c>
      <c r="CI5" s="800">
        <f t="shared" si="7"/>
        <v>-2.3333333333333335E-3</v>
      </c>
      <c r="CJ5" s="800">
        <f t="shared" si="7"/>
        <v>-2.3333333333333335E-3</v>
      </c>
      <c r="CK5" s="800">
        <f t="shared" si="7"/>
        <v>-2.3333333333333335E-3</v>
      </c>
      <c r="CL5" s="800">
        <f t="shared" si="7"/>
        <v>-2.3333333333333335E-3</v>
      </c>
      <c r="CM5" s="800">
        <f t="shared" si="7"/>
        <v>-2.3333333333333335E-3</v>
      </c>
      <c r="CN5" s="800">
        <f t="shared" si="7"/>
        <v>-2.3333333333333335E-3</v>
      </c>
      <c r="CO5" s="800">
        <f t="shared" si="7"/>
        <v>-2.3333333333333335E-3</v>
      </c>
      <c r="CP5" s="800">
        <f t="shared" si="7"/>
        <v>-2.3333333333333335E-3</v>
      </c>
      <c r="CQ5" s="800">
        <f t="shared" si="7"/>
        <v>-2.3333333333333335E-3</v>
      </c>
      <c r="CR5" s="800">
        <f t="shared" si="7"/>
        <v>-2.3333333333333335E-3</v>
      </c>
      <c r="CS5" s="800">
        <f t="shared" si="7"/>
        <v>-2.3333333333333335E-3</v>
      </c>
      <c r="CT5" s="800">
        <f t="shared" si="7"/>
        <v>-2.3333333333333335E-3</v>
      </c>
      <c r="CU5" s="800">
        <f t="shared" si="7"/>
        <v>-2.3333333333333335E-3</v>
      </c>
      <c r="CV5" s="800">
        <f t="shared" si="7"/>
        <v>-2.3333333333333335E-3</v>
      </c>
      <c r="CW5" s="800">
        <f t="shared" si="7"/>
        <v>-2.3333333333333335E-3</v>
      </c>
      <c r="CX5" s="800">
        <f t="shared" si="7"/>
        <v>-2.3333333333333335E-3</v>
      </c>
      <c r="CY5" s="800">
        <f t="shared" si="7"/>
        <v>-2.3333333333333335E-3</v>
      </c>
      <c r="CZ5" s="800">
        <f t="shared" si="7"/>
        <v>-2.3333333333333335E-3</v>
      </c>
      <c r="DA5" s="800">
        <f t="shared" si="7"/>
        <v>-2.3333333333333335E-3</v>
      </c>
      <c r="DB5" s="800">
        <f t="shared" si="7"/>
        <v>-2.3333333333333335E-3</v>
      </c>
      <c r="DC5" s="800">
        <f t="shared" si="7"/>
        <v>-2.3333333333333335E-3</v>
      </c>
      <c r="DD5" s="800">
        <f t="shared" si="7"/>
        <v>-2.3333333333333335E-3</v>
      </c>
      <c r="DE5" s="800">
        <f t="shared" si="7"/>
        <v>-2.3333333333333335E-3</v>
      </c>
      <c r="DF5" s="800">
        <f t="shared" si="7"/>
        <v>-2.3333333333333335E-3</v>
      </c>
      <c r="DG5" s="800">
        <f t="shared" si="7"/>
        <v>-2.3333333333333335E-3</v>
      </c>
      <c r="DH5" s="800">
        <f t="shared" si="7"/>
        <v>-2.3333333333333335E-3</v>
      </c>
      <c r="DI5" s="800">
        <f t="shared" si="7"/>
        <v>-2.3333333333333335E-3</v>
      </c>
      <c r="DJ5" s="800">
        <f t="shared" si="7"/>
        <v>-2.3333333333333335E-3</v>
      </c>
      <c r="DK5" s="800">
        <f t="shared" si="7"/>
        <v>-2.3333333333333335E-3</v>
      </c>
      <c r="DL5" s="800">
        <f t="shared" si="7"/>
        <v>-2.3333333333333335E-3</v>
      </c>
      <c r="DM5" s="800">
        <f t="shared" si="7"/>
        <v>-2.3333333333333335E-3</v>
      </c>
      <c r="DN5" s="800">
        <f t="shared" si="7"/>
        <v>-2.3333333333333335E-3</v>
      </c>
      <c r="DO5" s="800">
        <f t="shared" si="7"/>
        <v>-2.3333333333333335E-3</v>
      </c>
      <c r="DP5" s="800">
        <f t="shared" si="7"/>
        <v>-2.3333333333333335E-3</v>
      </c>
      <c r="DQ5" s="800">
        <f t="shared" si="7"/>
        <v>-2.3333333333333335E-3</v>
      </c>
      <c r="DR5" s="800">
        <f t="shared" si="7"/>
        <v>-2.3333333333333335E-3</v>
      </c>
      <c r="DS5" s="800">
        <f t="shared" si="7"/>
        <v>-2.3333333333333335E-3</v>
      </c>
      <c r="DT5" s="800">
        <f t="shared" si="7"/>
        <v>-2.3333333333333335E-3</v>
      </c>
      <c r="DU5" s="800">
        <f t="shared" si="7"/>
        <v>-2.3333333333333335E-3</v>
      </c>
      <c r="DV5" s="800">
        <f t="shared" si="7"/>
        <v>-2.3333333333333335E-3</v>
      </c>
      <c r="DW5" s="800">
        <f t="shared" si="7"/>
        <v>-2.3333333333333335E-3</v>
      </c>
      <c r="DX5" s="800">
        <f t="shared" si="7"/>
        <v>-2.3333333333333335E-3</v>
      </c>
      <c r="DY5" s="800">
        <f t="shared" si="7"/>
        <v>-2.3333333333333335E-3</v>
      </c>
      <c r="DZ5" s="800">
        <f t="shared" si="7"/>
        <v>-2.3333333333333335E-3</v>
      </c>
      <c r="EA5" s="800">
        <f t="shared" si="7"/>
        <v>-2.3333333333333335E-3</v>
      </c>
      <c r="EB5" s="800">
        <f t="shared" si="7"/>
        <v>-2.3333333333333335E-3</v>
      </c>
      <c r="EC5" s="800">
        <f t="shared" si="7"/>
        <v>-2.3333333333333335E-3</v>
      </c>
      <c r="ED5" s="800">
        <f t="shared" si="7"/>
        <v>-2.3333333333333335E-3</v>
      </c>
      <c r="EE5" s="800">
        <f t="shared" si="7"/>
        <v>-2.3333333333333335E-3</v>
      </c>
      <c r="EF5" s="800">
        <f t="shared" si="7"/>
        <v>-2.3333333333333335E-3</v>
      </c>
      <c r="EG5" s="800">
        <f t="shared" si="7"/>
        <v>-2.3333333333333335E-3</v>
      </c>
      <c r="EH5" s="800">
        <f t="shared" si="7"/>
        <v>-2.3333333333333335E-3</v>
      </c>
      <c r="EI5" s="800">
        <f t="shared" si="7"/>
        <v>-2.3333333333333335E-3</v>
      </c>
      <c r="EJ5" s="800">
        <f t="shared" si="7"/>
        <v>-2.3333333333333335E-3</v>
      </c>
      <c r="EK5" s="800">
        <f t="shared" ref="EK5:GV5" si="8">-0.07/30</f>
        <v>-2.3333333333333335E-3</v>
      </c>
      <c r="EL5" s="800">
        <f t="shared" si="8"/>
        <v>-2.3333333333333335E-3</v>
      </c>
      <c r="EM5" s="800">
        <f t="shared" si="8"/>
        <v>-2.3333333333333335E-3</v>
      </c>
      <c r="EN5" s="800">
        <f t="shared" si="8"/>
        <v>-2.3333333333333335E-3</v>
      </c>
      <c r="EO5" s="800">
        <f t="shared" si="8"/>
        <v>-2.3333333333333335E-3</v>
      </c>
      <c r="EP5" s="800">
        <f t="shared" si="8"/>
        <v>-2.3333333333333335E-3</v>
      </c>
      <c r="EQ5" s="800">
        <f t="shared" si="8"/>
        <v>-2.3333333333333335E-3</v>
      </c>
      <c r="ER5" s="800">
        <f t="shared" si="8"/>
        <v>-2.3333333333333335E-3</v>
      </c>
      <c r="ES5" s="800">
        <f t="shared" si="8"/>
        <v>-2.3333333333333335E-3</v>
      </c>
      <c r="ET5" s="800">
        <f t="shared" si="8"/>
        <v>-2.3333333333333335E-3</v>
      </c>
      <c r="EU5" s="800">
        <f t="shared" si="8"/>
        <v>-2.3333333333333335E-3</v>
      </c>
      <c r="EV5" s="800">
        <f t="shared" si="8"/>
        <v>-2.3333333333333335E-3</v>
      </c>
      <c r="EW5" s="800">
        <f t="shared" si="8"/>
        <v>-2.3333333333333335E-3</v>
      </c>
      <c r="EX5" s="800">
        <f t="shared" si="8"/>
        <v>-2.3333333333333335E-3</v>
      </c>
      <c r="EY5" s="800">
        <f t="shared" si="8"/>
        <v>-2.3333333333333335E-3</v>
      </c>
      <c r="EZ5" s="800">
        <f t="shared" si="8"/>
        <v>-2.3333333333333335E-3</v>
      </c>
      <c r="FA5" s="800">
        <f t="shared" si="8"/>
        <v>-2.3333333333333335E-3</v>
      </c>
      <c r="FB5" s="800">
        <f t="shared" si="8"/>
        <v>-2.3333333333333335E-3</v>
      </c>
      <c r="FC5" s="800">
        <f t="shared" si="8"/>
        <v>-2.3333333333333335E-3</v>
      </c>
      <c r="FD5" s="800">
        <f t="shared" si="8"/>
        <v>-2.3333333333333335E-3</v>
      </c>
      <c r="FE5" s="800">
        <f t="shared" si="8"/>
        <v>-2.3333333333333335E-3</v>
      </c>
      <c r="FF5" s="800">
        <f t="shared" si="8"/>
        <v>-2.3333333333333335E-3</v>
      </c>
      <c r="FG5" s="800">
        <f t="shared" si="8"/>
        <v>-2.3333333333333335E-3</v>
      </c>
      <c r="FH5" s="800">
        <f t="shared" si="8"/>
        <v>-2.3333333333333335E-3</v>
      </c>
      <c r="FI5" s="800">
        <f t="shared" si="8"/>
        <v>-2.3333333333333335E-3</v>
      </c>
      <c r="FJ5" s="800">
        <f t="shared" si="8"/>
        <v>-2.3333333333333335E-3</v>
      </c>
      <c r="FK5" s="800">
        <f t="shared" si="8"/>
        <v>-2.3333333333333335E-3</v>
      </c>
      <c r="FL5" s="800">
        <f t="shared" si="8"/>
        <v>-2.3333333333333335E-3</v>
      </c>
      <c r="FM5" s="800">
        <f t="shared" si="8"/>
        <v>-2.3333333333333335E-3</v>
      </c>
      <c r="FN5" s="800">
        <f t="shared" si="8"/>
        <v>-2.3333333333333335E-3</v>
      </c>
      <c r="FO5" s="800">
        <f t="shared" si="8"/>
        <v>-2.3333333333333335E-3</v>
      </c>
      <c r="FP5" s="800">
        <f t="shared" si="8"/>
        <v>-2.3333333333333335E-3</v>
      </c>
      <c r="FQ5" s="800">
        <f t="shared" si="8"/>
        <v>-2.3333333333333335E-3</v>
      </c>
      <c r="FR5" s="800">
        <f t="shared" si="8"/>
        <v>-2.3333333333333335E-3</v>
      </c>
      <c r="FS5" s="800">
        <f t="shared" si="8"/>
        <v>-2.3333333333333335E-3</v>
      </c>
      <c r="FT5" s="800">
        <f t="shared" si="8"/>
        <v>-2.3333333333333335E-3</v>
      </c>
      <c r="FU5" s="800">
        <f t="shared" si="8"/>
        <v>-2.3333333333333335E-3</v>
      </c>
      <c r="FV5" s="800">
        <f t="shared" si="8"/>
        <v>-2.3333333333333335E-3</v>
      </c>
      <c r="FW5" s="800">
        <f t="shared" si="8"/>
        <v>-2.3333333333333335E-3</v>
      </c>
      <c r="FX5" s="800">
        <f t="shared" si="8"/>
        <v>-2.3333333333333335E-3</v>
      </c>
      <c r="FY5" s="800">
        <f t="shared" si="8"/>
        <v>-2.3333333333333335E-3</v>
      </c>
      <c r="FZ5" s="800">
        <f t="shared" si="8"/>
        <v>-2.3333333333333335E-3</v>
      </c>
      <c r="GA5" s="800">
        <f t="shared" si="8"/>
        <v>-2.3333333333333335E-3</v>
      </c>
      <c r="GB5" s="800">
        <f t="shared" si="8"/>
        <v>-2.3333333333333335E-3</v>
      </c>
      <c r="GC5" s="800">
        <f t="shared" si="8"/>
        <v>-2.3333333333333335E-3</v>
      </c>
      <c r="GD5" s="800">
        <f t="shared" si="8"/>
        <v>-2.3333333333333335E-3</v>
      </c>
      <c r="GE5" s="800">
        <f t="shared" si="8"/>
        <v>-2.3333333333333335E-3</v>
      </c>
      <c r="GF5" s="800">
        <f t="shared" si="8"/>
        <v>-2.3333333333333335E-3</v>
      </c>
      <c r="GG5" s="800">
        <f t="shared" si="8"/>
        <v>-2.3333333333333335E-3</v>
      </c>
      <c r="GH5" s="800">
        <f t="shared" si="8"/>
        <v>-2.3333333333333335E-3</v>
      </c>
      <c r="GI5" s="800">
        <f t="shared" si="8"/>
        <v>-2.3333333333333335E-3</v>
      </c>
      <c r="GJ5" s="800">
        <f t="shared" si="8"/>
        <v>-2.3333333333333335E-3</v>
      </c>
      <c r="GK5" s="800">
        <f t="shared" si="8"/>
        <v>-2.3333333333333335E-3</v>
      </c>
      <c r="GL5" s="800">
        <f t="shared" si="8"/>
        <v>-2.3333333333333335E-3</v>
      </c>
      <c r="GM5" s="800">
        <f t="shared" si="8"/>
        <v>-2.3333333333333335E-3</v>
      </c>
      <c r="GN5" s="800">
        <f t="shared" si="8"/>
        <v>-2.3333333333333335E-3</v>
      </c>
      <c r="GO5" s="800">
        <f t="shared" si="8"/>
        <v>-2.3333333333333335E-3</v>
      </c>
      <c r="GP5" s="800">
        <f t="shared" si="8"/>
        <v>-2.3333333333333335E-3</v>
      </c>
      <c r="GQ5" s="800">
        <f t="shared" si="8"/>
        <v>-2.3333333333333335E-3</v>
      </c>
      <c r="GR5" s="800">
        <f t="shared" si="8"/>
        <v>-2.3333333333333335E-3</v>
      </c>
      <c r="GS5" s="800">
        <f t="shared" si="8"/>
        <v>-2.3333333333333335E-3</v>
      </c>
      <c r="GT5" s="800">
        <f t="shared" si="8"/>
        <v>-2.3333333333333335E-3</v>
      </c>
      <c r="GU5" s="800">
        <f t="shared" si="8"/>
        <v>-2.3333333333333335E-3</v>
      </c>
      <c r="GV5" s="800">
        <f t="shared" si="8"/>
        <v>-2.3333333333333335E-3</v>
      </c>
      <c r="GW5" s="800">
        <f t="shared" ref="GW5:JH5" si="9">-0.07/30</f>
        <v>-2.3333333333333335E-3</v>
      </c>
      <c r="GX5" s="800">
        <f t="shared" si="9"/>
        <v>-2.3333333333333335E-3</v>
      </c>
      <c r="GY5" s="800">
        <f t="shared" si="9"/>
        <v>-2.3333333333333335E-3</v>
      </c>
      <c r="GZ5" s="800">
        <f t="shared" si="9"/>
        <v>-2.3333333333333335E-3</v>
      </c>
      <c r="HA5" s="800">
        <f t="shared" si="9"/>
        <v>-2.3333333333333335E-3</v>
      </c>
      <c r="HB5" s="800">
        <f t="shared" si="9"/>
        <v>-2.3333333333333335E-3</v>
      </c>
      <c r="HC5" s="800">
        <f t="shared" si="9"/>
        <v>-2.3333333333333335E-3</v>
      </c>
      <c r="HD5" s="800">
        <f t="shared" si="9"/>
        <v>-2.3333333333333335E-3</v>
      </c>
      <c r="HE5" s="800">
        <f t="shared" si="9"/>
        <v>-2.3333333333333335E-3</v>
      </c>
      <c r="HF5" s="800">
        <f t="shared" si="9"/>
        <v>-2.3333333333333335E-3</v>
      </c>
      <c r="HG5" s="800">
        <f t="shared" si="9"/>
        <v>-2.3333333333333335E-3</v>
      </c>
      <c r="HH5" s="800">
        <f t="shared" si="9"/>
        <v>-2.3333333333333335E-3</v>
      </c>
      <c r="HI5" s="800">
        <f t="shared" si="9"/>
        <v>-2.3333333333333335E-3</v>
      </c>
      <c r="HJ5" s="800">
        <f t="shared" si="9"/>
        <v>-2.3333333333333335E-3</v>
      </c>
      <c r="HK5" s="800">
        <f t="shared" si="9"/>
        <v>-2.3333333333333335E-3</v>
      </c>
      <c r="HL5" s="800">
        <f t="shared" si="9"/>
        <v>-2.3333333333333335E-3</v>
      </c>
      <c r="HM5" s="800">
        <f t="shared" si="9"/>
        <v>-2.3333333333333335E-3</v>
      </c>
      <c r="HN5" s="800">
        <f t="shared" si="9"/>
        <v>-2.3333333333333335E-3</v>
      </c>
      <c r="HO5" s="800">
        <f t="shared" si="9"/>
        <v>-2.3333333333333335E-3</v>
      </c>
      <c r="HP5" s="800">
        <f t="shared" si="9"/>
        <v>-2.3333333333333335E-3</v>
      </c>
      <c r="HQ5" s="800">
        <f t="shared" si="9"/>
        <v>-2.3333333333333335E-3</v>
      </c>
      <c r="HR5" s="800">
        <f t="shared" si="9"/>
        <v>-2.3333333333333335E-3</v>
      </c>
      <c r="HS5" s="800">
        <f t="shared" si="9"/>
        <v>-2.3333333333333335E-3</v>
      </c>
      <c r="HT5" s="800">
        <f t="shared" si="9"/>
        <v>-2.3333333333333335E-3</v>
      </c>
      <c r="HU5" s="800">
        <f t="shared" si="9"/>
        <v>-2.3333333333333335E-3</v>
      </c>
      <c r="HV5" s="800">
        <f t="shared" si="9"/>
        <v>-2.3333333333333335E-3</v>
      </c>
      <c r="HW5" s="800">
        <f t="shared" si="9"/>
        <v>-2.3333333333333335E-3</v>
      </c>
      <c r="HX5" s="800">
        <f t="shared" si="9"/>
        <v>-2.3333333333333335E-3</v>
      </c>
      <c r="HY5" s="800">
        <f t="shared" si="9"/>
        <v>-2.3333333333333335E-3</v>
      </c>
      <c r="HZ5" s="800">
        <f t="shared" si="9"/>
        <v>-2.3333333333333335E-3</v>
      </c>
      <c r="IA5" s="800">
        <f t="shared" si="9"/>
        <v>-2.3333333333333335E-3</v>
      </c>
      <c r="IB5" s="800">
        <f t="shared" si="9"/>
        <v>-2.3333333333333335E-3</v>
      </c>
      <c r="IC5" s="800">
        <f t="shared" si="9"/>
        <v>-2.3333333333333335E-3</v>
      </c>
      <c r="ID5" s="800">
        <f t="shared" si="9"/>
        <v>-2.3333333333333335E-3</v>
      </c>
      <c r="IE5" s="800">
        <f t="shared" si="9"/>
        <v>-2.3333333333333335E-3</v>
      </c>
      <c r="IF5" s="800">
        <f t="shared" si="9"/>
        <v>-2.3333333333333335E-3</v>
      </c>
      <c r="IG5" s="800">
        <f t="shared" si="9"/>
        <v>-2.3333333333333335E-3</v>
      </c>
      <c r="IH5" s="800">
        <f t="shared" si="9"/>
        <v>-2.3333333333333335E-3</v>
      </c>
      <c r="II5" s="800">
        <f t="shared" si="9"/>
        <v>-2.3333333333333335E-3</v>
      </c>
      <c r="IJ5" s="800">
        <f t="shared" si="9"/>
        <v>-2.3333333333333335E-3</v>
      </c>
      <c r="IK5" s="800">
        <f t="shared" si="9"/>
        <v>-2.3333333333333335E-3</v>
      </c>
      <c r="IL5" s="800">
        <f t="shared" si="9"/>
        <v>-2.3333333333333335E-3</v>
      </c>
      <c r="IM5" s="800">
        <f t="shared" si="9"/>
        <v>-2.3333333333333335E-3</v>
      </c>
      <c r="IN5" s="800">
        <f t="shared" si="9"/>
        <v>-2.3333333333333335E-3</v>
      </c>
      <c r="IO5" s="800">
        <f t="shared" si="9"/>
        <v>-2.3333333333333335E-3</v>
      </c>
      <c r="IP5" s="800">
        <f t="shared" si="9"/>
        <v>-2.3333333333333335E-3</v>
      </c>
      <c r="IQ5" s="800">
        <f t="shared" si="9"/>
        <v>-2.3333333333333335E-3</v>
      </c>
      <c r="IR5" s="800">
        <f t="shared" si="9"/>
        <v>-2.3333333333333335E-3</v>
      </c>
      <c r="IS5" s="800">
        <f t="shared" si="9"/>
        <v>-2.3333333333333335E-3</v>
      </c>
      <c r="IT5" s="800">
        <f t="shared" si="9"/>
        <v>-2.3333333333333335E-3</v>
      </c>
      <c r="IU5" s="800">
        <f t="shared" si="9"/>
        <v>-2.3333333333333335E-3</v>
      </c>
      <c r="IV5" s="800">
        <f t="shared" si="9"/>
        <v>-2.3333333333333335E-3</v>
      </c>
      <c r="IW5" s="800">
        <f t="shared" si="9"/>
        <v>-2.3333333333333335E-3</v>
      </c>
      <c r="IX5" s="800">
        <f t="shared" si="9"/>
        <v>-2.3333333333333335E-3</v>
      </c>
      <c r="IY5" s="800">
        <f t="shared" si="9"/>
        <v>-2.3333333333333335E-3</v>
      </c>
      <c r="IZ5" s="800">
        <f t="shared" si="9"/>
        <v>-2.3333333333333335E-3</v>
      </c>
      <c r="JA5" s="800">
        <f t="shared" si="9"/>
        <v>-2.3333333333333335E-3</v>
      </c>
      <c r="JB5" s="800">
        <f t="shared" si="9"/>
        <v>-2.3333333333333335E-3</v>
      </c>
      <c r="JC5" s="800">
        <f t="shared" si="9"/>
        <v>-2.3333333333333335E-3</v>
      </c>
      <c r="JD5" s="800">
        <f t="shared" si="9"/>
        <v>-2.3333333333333335E-3</v>
      </c>
      <c r="JE5" s="800">
        <f t="shared" si="9"/>
        <v>-2.3333333333333335E-3</v>
      </c>
      <c r="JF5" s="800">
        <f t="shared" si="9"/>
        <v>-2.3333333333333335E-3</v>
      </c>
      <c r="JG5" s="800">
        <f t="shared" si="9"/>
        <v>-2.3333333333333335E-3</v>
      </c>
      <c r="JH5" s="800">
        <f t="shared" si="9"/>
        <v>-2.3333333333333335E-3</v>
      </c>
      <c r="JI5" s="800">
        <f t="shared" ref="JI5:KO5" si="10">-0.07/30</f>
        <v>-2.3333333333333335E-3</v>
      </c>
      <c r="JJ5" s="800">
        <f t="shared" si="10"/>
        <v>-2.3333333333333335E-3</v>
      </c>
      <c r="JK5" s="800">
        <f t="shared" si="10"/>
        <v>-2.3333333333333335E-3</v>
      </c>
      <c r="JL5" s="800">
        <f t="shared" si="10"/>
        <v>-2.3333333333333335E-3</v>
      </c>
      <c r="JM5" s="800">
        <f t="shared" si="10"/>
        <v>-2.3333333333333335E-3</v>
      </c>
      <c r="JN5" s="800">
        <f t="shared" si="10"/>
        <v>-2.3333333333333335E-3</v>
      </c>
      <c r="JO5" s="800">
        <f t="shared" si="10"/>
        <v>-2.3333333333333335E-3</v>
      </c>
      <c r="JP5" s="800">
        <f t="shared" si="10"/>
        <v>-2.3333333333333335E-3</v>
      </c>
      <c r="JQ5" s="800">
        <f t="shared" si="10"/>
        <v>-2.3333333333333335E-3</v>
      </c>
      <c r="JR5" s="800">
        <f t="shared" si="10"/>
        <v>-2.3333333333333335E-3</v>
      </c>
      <c r="JS5" s="800">
        <f t="shared" si="10"/>
        <v>-2.3333333333333335E-3</v>
      </c>
      <c r="JT5" s="800">
        <f t="shared" si="10"/>
        <v>-2.3333333333333335E-3</v>
      </c>
      <c r="JU5" s="800">
        <f t="shared" si="10"/>
        <v>-2.3333333333333335E-3</v>
      </c>
      <c r="JV5" s="800">
        <f t="shared" si="10"/>
        <v>-2.3333333333333335E-3</v>
      </c>
      <c r="JW5" s="800">
        <f t="shared" si="10"/>
        <v>-2.3333333333333335E-3</v>
      </c>
      <c r="JX5" s="800">
        <f t="shared" si="10"/>
        <v>-2.3333333333333335E-3</v>
      </c>
      <c r="JY5" s="800">
        <f t="shared" si="10"/>
        <v>-2.3333333333333335E-3</v>
      </c>
      <c r="JZ5" s="800">
        <f t="shared" si="10"/>
        <v>-2.3333333333333335E-3</v>
      </c>
      <c r="KA5" s="800">
        <f t="shared" si="10"/>
        <v>-2.3333333333333335E-3</v>
      </c>
      <c r="KB5" s="800">
        <f t="shared" si="10"/>
        <v>-2.3333333333333335E-3</v>
      </c>
      <c r="KC5" s="800">
        <f t="shared" si="10"/>
        <v>-2.3333333333333335E-3</v>
      </c>
      <c r="KD5" s="800">
        <f t="shared" si="10"/>
        <v>-2.3333333333333335E-3</v>
      </c>
      <c r="KE5" s="800">
        <f t="shared" si="10"/>
        <v>-2.3333333333333335E-3</v>
      </c>
      <c r="KF5" s="800">
        <f t="shared" si="10"/>
        <v>-2.3333333333333335E-3</v>
      </c>
      <c r="KG5" s="800">
        <f t="shared" si="10"/>
        <v>-2.3333333333333335E-3</v>
      </c>
      <c r="KH5" s="800">
        <f t="shared" si="10"/>
        <v>-2.3333333333333335E-3</v>
      </c>
      <c r="KI5" s="800">
        <f t="shared" si="10"/>
        <v>-2.3333333333333335E-3</v>
      </c>
      <c r="KJ5" s="800">
        <f t="shared" si="10"/>
        <v>-2.3333333333333335E-3</v>
      </c>
      <c r="KK5" s="800">
        <f t="shared" si="10"/>
        <v>-2.3333333333333335E-3</v>
      </c>
      <c r="KL5" s="800">
        <f t="shared" si="10"/>
        <v>-2.3333333333333335E-3</v>
      </c>
      <c r="KM5" s="800">
        <f t="shared" si="10"/>
        <v>-2.3333333333333335E-3</v>
      </c>
      <c r="KN5" s="800">
        <f t="shared" si="10"/>
        <v>-2.3333333333333335E-3</v>
      </c>
      <c r="KO5" s="800">
        <f t="shared" si="10"/>
        <v>-2.3333333333333335E-3</v>
      </c>
    </row>
    <row r="6" spans="1:366" x14ac:dyDescent="0.2">
      <c r="A6" t="s">
        <v>543</v>
      </c>
    </row>
    <row r="7" spans="1:366" x14ac:dyDescent="0.2">
      <c r="A7">
        <f>SUM(B4:NB4)</f>
        <v>5650.0000000000109</v>
      </c>
      <c r="T7">
        <v>30</v>
      </c>
      <c r="U7">
        <v>60</v>
      </c>
      <c r="V7">
        <v>90</v>
      </c>
      <c r="W7">
        <v>120</v>
      </c>
      <c r="X7">
        <v>150</v>
      </c>
      <c r="Y7">
        <v>180</v>
      </c>
      <c r="Z7">
        <v>210</v>
      </c>
      <c r="AA7">
        <v>240</v>
      </c>
      <c r="AB7">
        <v>270</v>
      </c>
      <c r="AC7">
        <v>300</v>
      </c>
    </row>
    <row r="8" spans="1:366" x14ac:dyDescent="0.2">
      <c r="T8" s="798">
        <f>AVERAGE(B4:AE4)</f>
        <v>14.384947913898937</v>
      </c>
      <c r="U8" s="798">
        <f>AVERAGE(AF4:BI4)</f>
        <v>20.021440502314579</v>
      </c>
      <c r="V8" s="798">
        <f>AVERAGE(BJ4:CM4)</f>
        <v>23.823431647460971</v>
      </c>
      <c r="W8" s="798">
        <f>AVERAGE(CN4:DQ4)</f>
        <v>22.711303046288506</v>
      </c>
      <c r="X8" s="798">
        <f>AVERAGE(DR4:EU4)</f>
        <v>21.174146614947972</v>
      </c>
      <c r="Y8" s="798">
        <f>AVERAGE(EV4:FY4)</f>
        <v>19.741028683274131</v>
      </c>
      <c r="Z8" s="798">
        <f>AVERAGE(FZ4:HC4)</f>
        <v>18.404907671638391</v>
      </c>
      <c r="AA8" s="798">
        <f>AVERAGE(HD4:IG4)</f>
        <v>17.159218591710804</v>
      </c>
      <c r="AB8" s="798">
        <f>AVERAGE(IH4:JK4)</f>
        <v>15.997840789597552</v>
      </c>
      <c r="AC8" s="798">
        <f>AVERAGE(JL4:KO4)</f>
        <v>14.915067872201668</v>
      </c>
    </row>
    <row r="9" spans="1:366" x14ac:dyDescent="0.2">
      <c r="A9" t="s">
        <v>544</v>
      </c>
      <c r="B9" s="628">
        <v>24.366028829187833</v>
      </c>
      <c r="C9">
        <f>BX4</f>
        <v>24.383535930979225</v>
      </c>
    </row>
    <row r="10" spans="1:366" x14ac:dyDescent="0.2">
      <c r="A10" t="s">
        <v>357</v>
      </c>
      <c r="B10" s="798">
        <f>B9*0.5</f>
        <v>12.183014414593917</v>
      </c>
    </row>
    <row r="11" spans="1:366" x14ac:dyDescent="0.2">
      <c r="A11" t="s">
        <v>545</v>
      </c>
      <c r="B11" s="801">
        <v>7.0000000000000007E-2</v>
      </c>
    </row>
    <row r="13" spans="1:366" x14ac:dyDescent="0.2">
      <c r="B13">
        <v>30</v>
      </c>
      <c r="C13">
        <v>60</v>
      </c>
      <c r="D13">
        <v>90</v>
      </c>
      <c r="E13">
        <v>120</v>
      </c>
      <c r="F13">
        <v>150</v>
      </c>
      <c r="G13">
        <v>180</v>
      </c>
      <c r="H13">
        <v>210</v>
      </c>
      <c r="I13">
        <v>240</v>
      </c>
      <c r="J13">
        <v>270</v>
      </c>
      <c r="K13">
        <v>300</v>
      </c>
    </row>
    <row r="14" spans="1:366" x14ac:dyDescent="0.2">
      <c r="A14">
        <v>4000</v>
      </c>
      <c r="B14">
        <v>10.184033921344392</v>
      </c>
      <c r="C14">
        <v>14.174471152081132</v>
      </c>
      <c r="D14">
        <v>16.866146299087436</v>
      </c>
      <c r="E14">
        <v>16.078798616841432</v>
      </c>
      <c r="F14">
        <v>14.990546276069376</v>
      </c>
      <c r="G14">
        <v>13.975949510282582</v>
      </c>
      <c r="H14">
        <v>13.030023130363475</v>
      </c>
      <c r="I14">
        <v>12.148119356963409</v>
      </c>
      <c r="J14">
        <v>11.325904983785891</v>
      </c>
      <c r="K14">
        <v>10.559340086514466</v>
      </c>
    </row>
    <row r="15" spans="1:366" x14ac:dyDescent="0.2">
      <c r="A15">
        <v>4250</v>
      </c>
      <c r="B15">
        <v>10.820536041428461</v>
      </c>
      <c r="C15">
        <v>15.060375599086262</v>
      </c>
      <c r="D15">
        <v>17.920280442780463</v>
      </c>
      <c r="E15">
        <v>17.083723530394099</v>
      </c>
      <c r="F15">
        <v>15.927455418323779</v>
      </c>
      <c r="G15">
        <v>14.849446354675308</v>
      </c>
      <c r="H15">
        <v>13.84439957601125</v>
      </c>
      <c r="I15">
        <v>12.907376816773683</v>
      </c>
      <c r="J15">
        <v>12.033774045272567</v>
      </c>
      <c r="K15">
        <v>11.219298841921679</v>
      </c>
    </row>
    <row r="16" spans="1:366" x14ac:dyDescent="0.2">
      <c r="A16">
        <v>4500</v>
      </c>
      <c r="B16">
        <v>11.457038161512447</v>
      </c>
      <c r="C16">
        <v>15.946280046091276</v>
      </c>
      <c r="D16">
        <v>18.974414586473365</v>
      </c>
      <c r="E16">
        <v>18.088648443946621</v>
      </c>
      <c r="F16">
        <v>16.864364560578046</v>
      </c>
      <c r="G16">
        <v>15.722943199067908</v>
      </c>
      <c r="H16">
        <v>14.658776021658912</v>
      </c>
      <c r="I16">
        <v>13.66663427658384</v>
      </c>
      <c r="J16">
        <v>12.741643106759131</v>
      </c>
      <c r="K16">
        <v>11.87925759732877</v>
      </c>
    </row>
    <row r="17" spans="1:76" x14ac:dyDescent="0.2">
      <c r="A17">
        <v>4750</v>
      </c>
      <c r="B17">
        <v>12.093540281596381</v>
      </c>
      <c r="C17">
        <v>16.832184493096218</v>
      </c>
      <c r="D17">
        <v>20.028548730166179</v>
      </c>
      <c r="E17">
        <v>19.093573357499071</v>
      </c>
      <c r="F17">
        <v>17.801273702832251</v>
      </c>
      <c r="G17">
        <v>16.596440043460444</v>
      </c>
      <c r="H17">
        <v>15.473152467306505</v>
      </c>
      <c r="I17">
        <v>14.425891736393938</v>
      </c>
      <c r="J17">
        <v>13.449512168245645</v>
      </c>
      <c r="K17">
        <v>12.539216352735837</v>
      </c>
    </row>
    <row r="18" spans="1:76" x14ac:dyDescent="0.2">
      <c r="A18">
        <v>5000</v>
      </c>
      <c r="B18">
        <v>12.730042401680562</v>
      </c>
      <c r="C18">
        <v>17.71808894010152</v>
      </c>
      <c r="D18">
        <v>21.08268287385944</v>
      </c>
      <c r="E18">
        <v>20.098498271051941</v>
      </c>
      <c r="F18">
        <v>18.738182845086861</v>
      </c>
      <c r="G18">
        <v>17.469936887853375</v>
      </c>
      <c r="H18">
        <v>16.287528912954478</v>
      </c>
      <c r="I18">
        <v>15.185149196204387</v>
      </c>
      <c r="J18">
        <v>14.157381229732477</v>
      </c>
      <c r="K18">
        <v>13.199175108143189</v>
      </c>
    </row>
    <row r="19" spans="1:76" x14ac:dyDescent="0.2">
      <c r="A19">
        <v>5250</v>
      </c>
      <c r="B19">
        <v>13.366544521764274</v>
      </c>
      <c r="C19">
        <v>18.603993387106144</v>
      </c>
      <c r="D19">
        <v>22.136817017551856</v>
      </c>
      <c r="E19">
        <v>21.103423184604015</v>
      </c>
      <c r="F19">
        <v>19.675091987340704</v>
      </c>
      <c r="G19">
        <v>18.343433732245554</v>
      </c>
      <c r="H19">
        <v>17.101905358601755</v>
      </c>
      <c r="I19">
        <v>15.944406656014191</v>
      </c>
      <c r="J19">
        <v>14.865250291218716</v>
      </c>
      <c r="K19">
        <v>13.859133863549992</v>
      </c>
    </row>
    <row r="20" spans="1:76" x14ac:dyDescent="0.2">
      <c r="A20">
        <v>5500</v>
      </c>
      <c r="B20">
        <v>14.003046641848565</v>
      </c>
      <c r="C20">
        <v>19.489897834111602</v>
      </c>
      <c r="D20">
        <v>23.190951161245263</v>
      </c>
      <c r="E20">
        <v>22.108348098157023</v>
      </c>
      <c r="F20">
        <v>20.612001129595434</v>
      </c>
      <c r="G20">
        <v>19.2169305766386</v>
      </c>
      <c r="H20">
        <v>17.916281804249813</v>
      </c>
      <c r="I20">
        <v>16.703664115824719</v>
      </c>
      <c r="J20">
        <v>15.573119352705627</v>
      </c>
      <c r="K20">
        <v>14.519092618957417</v>
      </c>
    </row>
    <row r="21" spans="1:76" x14ac:dyDescent="0.2">
      <c r="A21">
        <v>5650</v>
      </c>
      <c r="B21">
        <v>14.384947913898937</v>
      </c>
      <c r="C21">
        <v>20.021440502314579</v>
      </c>
      <c r="D21">
        <v>23.823431647460971</v>
      </c>
      <c r="E21">
        <v>22.711303046288506</v>
      </c>
      <c r="F21">
        <v>21.174146614947972</v>
      </c>
      <c r="G21">
        <v>19.741028683274131</v>
      </c>
      <c r="H21">
        <v>18.404907671638391</v>
      </c>
      <c r="I21">
        <v>17.159218591710804</v>
      </c>
      <c r="J21">
        <v>15.997840789597552</v>
      </c>
      <c r="K21">
        <v>14.915067872201668</v>
      </c>
    </row>
    <row r="22" spans="1:76" x14ac:dyDescent="0.2">
      <c r="A22">
        <v>5750</v>
      </c>
      <c r="B22">
        <v>14.639548761932501</v>
      </c>
      <c r="C22">
        <v>20.375802281116542</v>
      </c>
      <c r="D22">
        <v>24.24508530493808</v>
      </c>
      <c r="E22">
        <v>23.113273011709463</v>
      </c>
      <c r="F22">
        <v>21.548910271849628</v>
      </c>
      <c r="G22">
        <v>20.090427421031134</v>
      </c>
      <c r="H22">
        <v>18.730658249897417</v>
      </c>
      <c r="I22">
        <v>17.462921575634827</v>
      </c>
      <c r="J22">
        <v>16.280988414192151</v>
      </c>
      <c r="K22">
        <v>15.179051374364482</v>
      </c>
    </row>
    <row r="23" spans="1:76" x14ac:dyDescent="0.2">
      <c r="A23">
        <v>6000</v>
      </c>
      <c r="B23">
        <v>15.276050882016554</v>
      </c>
      <c r="C23">
        <v>21.261706728121649</v>
      </c>
      <c r="D23">
        <v>25.299219448631096</v>
      </c>
      <c r="E23">
        <v>24.118197925262102</v>
      </c>
      <c r="F23">
        <v>22.485819414104014</v>
      </c>
      <c r="G23">
        <v>20.963924265423834</v>
      </c>
      <c r="H23">
        <v>19.545034695545187</v>
      </c>
      <c r="I23">
        <v>18.222179035445091</v>
      </c>
      <c r="J23">
        <v>16.98885747567881</v>
      </c>
      <c r="K23">
        <v>15.839010129771671</v>
      </c>
    </row>
    <row r="25" spans="1:76" x14ac:dyDescent="0.2">
      <c r="C25" s="536" t="str">
        <f>'P1 CF'!C2</f>
        <v>Mar</v>
      </c>
      <c r="D25" s="536" t="str">
        <f>'P1 CF'!D2</f>
        <v>Apr</v>
      </c>
      <c r="E25" s="536" t="str">
        <f>'P1 CF'!E2</f>
        <v>May</v>
      </c>
      <c r="F25" s="536" t="str">
        <f>'P1 CF'!F2</f>
        <v>Jun</v>
      </c>
      <c r="G25" s="536" t="str">
        <f>'P1 CF'!G2</f>
        <v>Jul</v>
      </c>
      <c r="H25" s="536" t="str">
        <f>'P1 CF'!H2</f>
        <v>Aug</v>
      </c>
      <c r="I25" s="536" t="str">
        <f>'P1 CF'!I2</f>
        <v>Sep</v>
      </c>
      <c r="J25" s="536" t="str">
        <f>'P1 CF'!J2</f>
        <v>Oct</v>
      </c>
      <c r="K25" s="536" t="str">
        <f>'P1 CF'!K2</f>
        <v>Nov</v>
      </c>
      <c r="L25" s="536" t="str">
        <f>'P1 CF'!L2</f>
        <v>Dec</v>
      </c>
      <c r="M25" s="536" t="str">
        <f>'P1 CF'!M2</f>
        <v>Jan</v>
      </c>
      <c r="N25" s="536" t="str">
        <f>'P1 CF'!N2</f>
        <v>Feb</v>
      </c>
      <c r="O25" s="536" t="str">
        <f>C25</f>
        <v>Mar</v>
      </c>
      <c r="P25" s="536" t="str">
        <f t="shared" ref="P25:Z25" si="11">D25</f>
        <v>Apr</v>
      </c>
      <c r="Q25" s="536" t="str">
        <f t="shared" si="11"/>
        <v>May</v>
      </c>
      <c r="R25" s="536" t="str">
        <f t="shared" si="11"/>
        <v>Jun</v>
      </c>
      <c r="S25" s="536" t="str">
        <f t="shared" si="11"/>
        <v>Jul</v>
      </c>
      <c r="T25" s="536" t="str">
        <f t="shared" si="11"/>
        <v>Aug</v>
      </c>
      <c r="U25" s="536" t="str">
        <f t="shared" si="11"/>
        <v>Sep</v>
      </c>
      <c r="V25" s="536" t="str">
        <f t="shared" si="11"/>
        <v>Oct</v>
      </c>
      <c r="W25" s="536" t="str">
        <f t="shared" si="11"/>
        <v>Nov</v>
      </c>
      <c r="X25" s="536" t="str">
        <f t="shared" si="11"/>
        <v>Dec</v>
      </c>
      <c r="Y25" s="536" t="str">
        <f t="shared" si="11"/>
        <v>Jan</v>
      </c>
      <c r="Z25" s="536" t="str">
        <f t="shared" si="11"/>
        <v>Feb</v>
      </c>
    </row>
    <row r="26" spans="1:76" x14ac:dyDescent="0.2">
      <c r="C26">
        <f>'P1 Feeding'!D1</f>
        <v>31</v>
      </c>
      <c r="D26">
        <f>'P1 Feeding'!E1</f>
        <v>30</v>
      </c>
      <c r="E26">
        <f>'P1 Feeding'!F1</f>
        <v>31</v>
      </c>
      <c r="F26">
        <f>'P1 Feeding'!G1</f>
        <v>30</v>
      </c>
      <c r="G26">
        <f>'P1 Feeding'!H1</f>
        <v>31</v>
      </c>
      <c r="H26">
        <f>'P1 Feeding'!I1</f>
        <v>31</v>
      </c>
      <c r="I26">
        <f>'P1 Feeding'!J1</f>
        <v>30</v>
      </c>
      <c r="J26">
        <f>'P1 Feeding'!K1</f>
        <v>31</v>
      </c>
      <c r="K26">
        <f>'P1 Feeding'!L1</f>
        <v>30</v>
      </c>
      <c r="L26">
        <f>'P1 Feeding'!M1</f>
        <v>31</v>
      </c>
      <c r="M26">
        <f>'P1 Feeding'!N1</f>
        <v>31</v>
      </c>
      <c r="N26">
        <f>'P1 Feeding'!O1</f>
        <v>28</v>
      </c>
      <c r="O26">
        <f t="shared" ref="O26:Z26" si="12">C26</f>
        <v>31</v>
      </c>
      <c r="P26">
        <f t="shared" si="12"/>
        <v>30</v>
      </c>
      <c r="Q26">
        <f t="shared" si="12"/>
        <v>31</v>
      </c>
      <c r="R26">
        <f t="shared" si="12"/>
        <v>30</v>
      </c>
      <c r="S26">
        <f t="shared" si="12"/>
        <v>31</v>
      </c>
      <c r="T26">
        <f t="shared" si="12"/>
        <v>31</v>
      </c>
      <c r="U26">
        <f t="shared" si="12"/>
        <v>30</v>
      </c>
      <c r="V26">
        <f t="shared" si="12"/>
        <v>31</v>
      </c>
      <c r="W26">
        <f t="shared" si="12"/>
        <v>30</v>
      </c>
      <c r="X26">
        <f t="shared" si="12"/>
        <v>31</v>
      </c>
      <c r="Y26">
        <f t="shared" si="12"/>
        <v>31</v>
      </c>
      <c r="Z26">
        <f t="shared" si="12"/>
        <v>28</v>
      </c>
    </row>
    <row r="27" spans="1:76" x14ac:dyDescent="0.2">
      <c r="B27" s="802"/>
      <c r="C27" s="819">
        <f>SUM('P1 CF'!C4:C5)/2-C28</f>
        <v>0</v>
      </c>
      <c r="D27">
        <f>SUM('P1 CF'!C4:D5)/2-D28</f>
        <v>0</v>
      </c>
      <c r="E27">
        <f>SUM('P1 CF'!D4:E5)/2-E28</f>
        <v>19</v>
      </c>
      <c r="F27">
        <f>SUM('P1 CF'!E4:F5)/2-F28</f>
        <v>78</v>
      </c>
      <c r="G27">
        <f>SUM('P1 CF'!F4:G5)/2-G28</f>
        <v>142</v>
      </c>
      <c r="H27">
        <f>SUM('P1 CF'!G4:H5)/2-H28</f>
        <v>83</v>
      </c>
      <c r="I27">
        <f>SUM('P1 CF'!H4:I5)/2-I28</f>
        <v>0</v>
      </c>
      <c r="J27">
        <f>SUM('P1 CF'!I4:J5)/2-J28</f>
        <v>0</v>
      </c>
      <c r="K27">
        <f>SUM('P1 CF'!J4:K5)/2-K28</f>
        <v>0</v>
      </c>
      <c r="L27">
        <f>SUM('P1 CF'!K4:L5)/2-L28</f>
        <v>0</v>
      </c>
      <c r="M27">
        <f>SUM('P1 CF'!L4:M5)/2-M28</f>
        <v>0</v>
      </c>
      <c r="N27">
        <f>SUM('P1 CF'!M4:N5)/2-N28</f>
        <v>0</v>
      </c>
      <c r="O27">
        <f>'P1 CF'!C3</f>
        <v>1230</v>
      </c>
      <c r="P27">
        <f>O27-O28-O29</f>
        <v>1230</v>
      </c>
      <c r="Q27">
        <f t="shared" ref="Q27:Z27" si="13">P27-P28-P29</f>
        <v>1230</v>
      </c>
      <c r="R27">
        <f t="shared" si="13"/>
        <v>1140</v>
      </c>
      <c r="S27">
        <f t="shared" si="13"/>
        <v>1125</v>
      </c>
      <c r="T27">
        <f t="shared" si="13"/>
        <v>1110</v>
      </c>
      <c r="U27">
        <f t="shared" si="13"/>
        <v>1095</v>
      </c>
      <c r="V27">
        <f t="shared" si="13"/>
        <v>1080</v>
      </c>
      <c r="W27">
        <f t="shared" si="13"/>
        <v>1065</v>
      </c>
      <c r="X27">
        <f t="shared" si="13"/>
        <v>1050</v>
      </c>
      <c r="Y27">
        <f t="shared" si="13"/>
        <v>1035</v>
      </c>
      <c r="Z27">
        <f t="shared" si="13"/>
        <v>1020</v>
      </c>
    </row>
    <row r="28" spans="1:76" x14ac:dyDescent="0.2">
      <c r="A28" t="s">
        <v>298</v>
      </c>
      <c r="B28" s="802"/>
      <c r="O28">
        <f>SUM('P1 CF'!C6:C8)</f>
        <v>0</v>
      </c>
      <c r="P28">
        <f>SUM('P1 CF'!D6:D8)</f>
        <v>0</v>
      </c>
      <c r="Q28">
        <f>SUM('P1 CF'!E6:E8)</f>
        <v>90</v>
      </c>
      <c r="R28">
        <f>SUM('P1 CF'!F6:F8)</f>
        <v>15</v>
      </c>
      <c r="S28">
        <f>SUM('P1 CF'!G6:G8)</f>
        <v>15</v>
      </c>
      <c r="T28">
        <f>SUM('P1 CF'!H6:H8)</f>
        <v>15</v>
      </c>
      <c r="U28">
        <f>SUM('P1 CF'!I6:I8)</f>
        <v>15</v>
      </c>
      <c r="V28">
        <f>SUM('P1 CF'!J6:J8)</f>
        <v>15</v>
      </c>
      <c r="W28">
        <f>SUM('P1 CF'!K6:K8)</f>
        <v>15</v>
      </c>
      <c r="X28">
        <f>SUM('P1 CF'!L6:L8)</f>
        <v>15</v>
      </c>
      <c r="Y28">
        <f>SUM('P1 CF'!M6:M8)</f>
        <v>15</v>
      </c>
      <c r="Z28">
        <f>SUM('P1 CF'!N6:N8)</f>
        <v>15</v>
      </c>
    </row>
    <row r="29" spans="1:76" x14ac:dyDescent="0.2">
      <c r="BX29"/>
    </row>
    <row r="30" spans="1:76" x14ac:dyDescent="0.2">
      <c r="O30">
        <f>O27-O28/2</f>
        <v>1230</v>
      </c>
      <c r="P30">
        <f>O30-O28/2-P28/2</f>
        <v>1230</v>
      </c>
      <c r="Q30">
        <f t="shared" ref="Q30:Z30" si="14">P30-P28/2-Q28/2</f>
        <v>1185</v>
      </c>
      <c r="R30">
        <f t="shared" si="14"/>
        <v>1132.5</v>
      </c>
      <c r="S30">
        <f t="shared" si="14"/>
        <v>1117.5</v>
      </c>
      <c r="T30">
        <f t="shared" si="14"/>
        <v>1102.5</v>
      </c>
      <c r="U30">
        <f t="shared" si="14"/>
        <v>1087.5</v>
      </c>
      <c r="V30">
        <f t="shared" si="14"/>
        <v>1072.5</v>
      </c>
      <c r="W30">
        <f t="shared" si="14"/>
        <v>1057.5</v>
      </c>
      <c r="X30">
        <f t="shared" si="14"/>
        <v>1042.5</v>
      </c>
      <c r="Y30">
        <f t="shared" si="14"/>
        <v>1027.5</v>
      </c>
      <c r="Z30">
        <f t="shared" si="14"/>
        <v>1012.5</v>
      </c>
      <c r="BX30"/>
    </row>
    <row r="31" spans="1:76" x14ac:dyDescent="0.2">
      <c r="A31" s="802" t="s">
        <v>546</v>
      </c>
      <c r="B31" s="806">
        <v>6000</v>
      </c>
      <c r="C31" s="807">
        <f>VLOOKUP($B31,$A$14:$K$23,2,)</f>
        <v>15.276050882016554</v>
      </c>
      <c r="D31" s="808">
        <f>VLOOKUP($B31,$A$14:$K$23,3,)</f>
        <v>21.261706728121649</v>
      </c>
      <c r="E31" s="808">
        <f>VLOOKUP($B31,$A$14:$K$23,4,)</f>
        <v>25.299219448631096</v>
      </c>
      <c r="F31" s="808">
        <f>VLOOKUP($B31,$A$14:$K$23,5,)</f>
        <v>24.118197925262102</v>
      </c>
      <c r="G31" s="808">
        <f>VLOOKUP($B31,$A$14:$K$23,6,)</f>
        <v>22.485819414104014</v>
      </c>
      <c r="H31" s="808">
        <f>VLOOKUP($B31,$A$14:$K$23,7,)</f>
        <v>20.963924265423834</v>
      </c>
      <c r="I31" s="808">
        <f>VLOOKUP($B31,$A$14:$K$23,8,)</f>
        <v>19.545034695545187</v>
      </c>
      <c r="J31" s="808">
        <f>VLOOKUP($B31,$A$14:$K$23,9,)</f>
        <v>18.222179035445091</v>
      </c>
      <c r="K31" s="808">
        <f>VLOOKUP($B31,$A$14:$K$23,10,)</f>
        <v>16.98885747567881</v>
      </c>
      <c r="L31" s="808">
        <f>VLOOKUP($B31,$A$14:$K$23,11,)</f>
        <v>15.839010129771671</v>
      </c>
      <c r="M31" s="809"/>
      <c r="N31" s="803"/>
      <c r="O31" s="628">
        <v>14</v>
      </c>
      <c r="P31" s="628">
        <v>14</v>
      </c>
      <c r="Q31" s="628">
        <v>13</v>
      </c>
      <c r="R31" s="628">
        <v>12</v>
      </c>
      <c r="S31" s="628">
        <v>11</v>
      </c>
      <c r="T31" s="628">
        <v>18</v>
      </c>
      <c r="U31" s="628">
        <f t="shared" ref="U31:X31" si="15">T31</f>
        <v>18</v>
      </c>
      <c r="V31" s="628">
        <f t="shared" si="15"/>
        <v>18</v>
      </c>
      <c r="W31" s="628">
        <f t="shared" si="15"/>
        <v>18</v>
      </c>
      <c r="X31" s="628">
        <f t="shared" si="15"/>
        <v>18</v>
      </c>
      <c r="Y31" s="628">
        <f t="shared" ref="Y31" si="16">X31</f>
        <v>18</v>
      </c>
      <c r="Z31" s="628">
        <f t="shared" ref="Z31" si="17">Y31</f>
        <v>18</v>
      </c>
      <c r="BX31"/>
    </row>
    <row r="32" spans="1:76" x14ac:dyDescent="0.2">
      <c r="A32" s="802" t="s">
        <v>547</v>
      </c>
      <c r="B32">
        <f t="shared" ref="B32:B42" si="18">B31</f>
        <v>6000</v>
      </c>
      <c r="C32" s="810"/>
      <c r="D32" s="808">
        <f>VLOOKUP($B32,$A$14:$K$23,2,)</f>
        <v>15.276050882016554</v>
      </c>
      <c r="E32" s="808">
        <f>VLOOKUP($B32,$A$14:$K$23,3,)</f>
        <v>21.261706728121649</v>
      </c>
      <c r="F32" s="808">
        <f>VLOOKUP($B32,$A$14:$K$23,4,)</f>
        <v>25.299219448631096</v>
      </c>
      <c r="G32" s="808">
        <f>VLOOKUP($B32,$A$14:$K$23,5,)</f>
        <v>24.118197925262102</v>
      </c>
      <c r="H32" s="808">
        <f>VLOOKUP($B32,$A$14:$K$23,6,)</f>
        <v>22.485819414104014</v>
      </c>
      <c r="I32" s="808">
        <f>VLOOKUP($B32,$A$14:$K$23,7,)</f>
        <v>20.963924265423834</v>
      </c>
      <c r="J32" s="808">
        <f>VLOOKUP($B32,$A$14:$K$23,8,)</f>
        <v>19.545034695545187</v>
      </c>
      <c r="K32" s="808">
        <f>VLOOKUP($B32,$A$14:$K$23,9,)</f>
        <v>18.222179035445091</v>
      </c>
      <c r="L32" s="808">
        <f>VLOOKUP($B32,$A$14:$K$23,10,)</f>
        <v>16.98885747567881</v>
      </c>
      <c r="M32" s="808">
        <f>VLOOKUP($B32,$A$14:$K$23,11,)</f>
        <v>15.839010129771671</v>
      </c>
      <c r="N32" s="803"/>
      <c r="Z32" s="803"/>
      <c r="BX32"/>
    </row>
    <row r="33" spans="1:76" x14ac:dyDescent="0.2">
      <c r="A33" s="802" t="s">
        <v>548</v>
      </c>
      <c r="B33">
        <f t="shared" si="18"/>
        <v>6000</v>
      </c>
      <c r="C33" s="810"/>
      <c r="D33" s="809"/>
      <c r="E33" s="808">
        <f>VLOOKUP($B33,$A$14:$K$23,2,)</f>
        <v>15.276050882016554</v>
      </c>
      <c r="F33" s="808">
        <f>VLOOKUP($B33,$A$14:$K$23,3,)</f>
        <v>21.261706728121649</v>
      </c>
      <c r="G33" s="808">
        <f>VLOOKUP($B33,$A$14:$K$23,4,)</f>
        <v>25.299219448631096</v>
      </c>
      <c r="H33" s="808">
        <f>VLOOKUP($B33,$A$14:$K$23,5,)</f>
        <v>24.118197925262102</v>
      </c>
      <c r="I33" s="808">
        <f>VLOOKUP($B33,$A$14:$K$23,6,)</f>
        <v>22.485819414104014</v>
      </c>
      <c r="J33" s="808">
        <f>VLOOKUP($B33,$A$14:$K$23,7,)</f>
        <v>20.963924265423834</v>
      </c>
      <c r="K33" s="808">
        <f>VLOOKUP($B33,$A$14:$K$23,8,)</f>
        <v>19.545034695545187</v>
      </c>
      <c r="L33" s="808">
        <f>VLOOKUP($B33,$A$14:$K$23,9,)</f>
        <v>18.222179035445091</v>
      </c>
      <c r="M33" s="808">
        <f>VLOOKUP($B33,$A$14:$K$23,10,)</f>
        <v>16.98885747567881</v>
      </c>
      <c r="N33" s="811">
        <f>VLOOKUP($B33,$A$14:$K$23,11,)</f>
        <v>15.839010129771671</v>
      </c>
      <c r="Z33" s="803"/>
      <c r="BX33"/>
    </row>
    <row r="34" spans="1:76" x14ac:dyDescent="0.2">
      <c r="A34" s="802" t="s">
        <v>549</v>
      </c>
      <c r="B34">
        <f t="shared" si="18"/>
        <v>6000</v>
      </c>
      <c r="C34" s="810"/>
      <c r="D34" s="809"/>
      <c r="E34" s="809"/>
      <c r="F34" s="808">
        <f>VLOOKUP($B34,$A$14:$K$23,2,)</f>
        <v>15.276050882016554</v>
      </c>
      <c r="G34" s="808">
        <f>VLOOKUP($B34,$A$14:$K$23,3,)</f>
        <v>21.261706728121649</v>
      </c>
      <c r="H34" s="808">
        <f>VLOOKUP($B34,$A$14:$K$23,4,)</f>
        <v>25.299219448631096</v>
      </c>
      <c r="I34" s="808">
        <f>VLOOKUP($B34,$A$14:$K$23,5,)</f>
        <v>24.118197925262102</v>
      </c>
      <c r="J34" s="808">
        <f>VLOOKUP($B34,$A$14:$K$23,6,)</f>
        <v>22.485819414104014</v>
      </c>
      <c r="K34" s="808">
        <f>VLOOKUP($B34,$A$14:$K$23,7,)</f>
        <v>20.963924265423834</v>
      </c>
      <c r="L34" s="808">
        <f>VLOOKUP($B34,$A$14:$K$23,8,)</f>
        <v>19.545034695545187</v>
      </c>
      <c r="M34" s="808">
        <f>VLOOKUP($B34,$A$14:$K$23,9,)</f>
        <v>18.222179035445091</v>
      </c>
      <c r="N34" s="811">
        <f>VLOOKUP($B34,$A$14:$K$23,10,)</f>
        <v>16.98885747567881</v>
      </c>
      <c r="O34" s="798"/>
      <c r="Z34" s="803"/>
      <c r="BX34"/>
    </row>
    <row r="35" spans="1:76" x14ac:dyDescent="0.2">
      <c r="A35" s="802" t="s">
        <v>550</v>
      </c>
      <c r="B35">
        <f t="shared" si="18"/>
        <v>6000</v>
      </c>
      <c r="C35" s="810"/>
      <c r="D35" s="809"/>
      <c r="E35" s="809"/>
      <c r="F35" s="809"/>
      <c r="G35" s="808">
        <f>VLOOKUP($B35,$A$14:$K$23,2,)</f>
        <v>15.276050882016554</v>
      </c>
      <c r="H35" s="808">
        <f>VLOOKUP($B35,$A$14:$K$23,3,)</f>
        <v>21.261706728121649</v>
      </c>
      <c r="I35" s="808">
        <f>VLOOKUP($B35,$A$14:$K$23,4,)</f>
        <v>25.299219448631096</v>
      </c>
      <c r="J35" s="808">
        <f>VLOOKUP($B35,$A$14:$K$23,5,)</f>
        <v>24.118197925262102</v>
      </c>
      <c r="K35" s="808">
        <f>VLOOKUP($B35,$A$14:$K$23,6,)</f>
        <v>22.485819414104014</v>
      </c>
      <c r="L35" s="808">
        <f>VLOOKUP($B35,$A$14:$K$23,7,)</f>
        <v>20.963924265423834</v>
      </c>
      <c r="M35" s="808">
        <f>VLOOKUP($B35,$A$14:$K$23,8,)</f>
        <v>19.545034695545187</v>
      </c>
      <c r="N35" s="811">
        <f>VLOOKUP($B35,$A$14:$K$23,9,)</f>
        <v>18.222179035445091</v>
      </c>
      <c r="O35" s="798"/>
      <c r="P35" s="798"/>
      <c r="Z35" s="803"/>
      <c r="BX35"/>
    </row>
    <row r="36" spans="1:76" x14ac:dyDescent="0.2">
      <c r="A36" s="802" t="s">
        <v>551</v>
      </c>
      <c r="B36">
        <f t="shared" si="18"/>
        <v>6000</v>
      </c>
      <c r="C36" s="810"/>
      <c r="D36" s="809"/>
      <c r="E36" s="809"/>
      <c r="F36" s="809"/>
      <c r="G36" s="809"/>
      <c r="H36" s="808">
        <f>VLOOKUP($B36,$A$14:$K$23,2,)</f>
        <v>15.276050882016554</v>
      </c>
      <c r="I36" s="808">
        <f>VLOOKUP($B36,$A$14:$K$23,3,)</f>
        <v>21.261706728121649</v>
      </c>
      <c r="J36" s="808">
        <f>VLOOKUP($B36,$A$14:$K$23,4,)</f>
        <v>25.299219448631096</v>
      </c>
      <c r="K36" s="808">
        <f>VLOOKUP($B36,$A$14:$K$23,5,)</f>
        <v>24.118197925262102</v>
      </c>
      <c r="L36" s="808">
        <f>VLOOKUP($B36,$A$14:$K$23,6,)</f>
        <v>22.485819414104014</v>
      </c>
      <c r="M36" s="808">
        <f>VLOOKUP($B36,$A$14:$K$23,7,)</f>
        <v>20.963924265423834</v>
      </c>
      <c r="N36" s="811">
        <f>VLOOKUP($B36,$A$14:$K$23,8,)</f>
        <v>19.545034695545187</v>
      </c>
      <c r="O36" s="798"/>
      <c r="P36" s="798"/>
      <c r="Q36" s="798"/>
      <c r="Z36" s="803"/>
      <c r="BX36"/>
    </row>
    <row r="37" spans="1:76" x14ac:dyDescent="0.2">
      <c r="A37" s="802" t="s">
        <v>552</v>
      </c>
      <c r="B37">
        <f t="shared" si="18"/>
        <v>6000</v>
      </c>
      <c r="C37" s="810"/>
      <c r="D37" s="809"/>
      <c r="E37" s="809"/>
      <c r="F37" s="809"/>
      <c r="G37" s="809"/>
      <c r="H37" s="809"/>
      <c r="I37" s="808">
        <f>VLOOKUP($B37,$A$14:$K$23,2,)</f>
        <v>15.276050882016554</v>
      </c>
      <c r="J37" s="808">
        <f>VLOOKUP($B37,$A$14:$K$23,3,)</f>
        <v>21.261706728121649</v>
      </c>
      <c r="K37" s="808">
        <f>VLOOKUP($B37,$A$14:$K$23,4,)</f>
        <v>25.299219448631096</v>
      </c>
      <c r="L37" s="808">
        <f>VLOOKUP($B37,$A$14:$K$23,5,)</f>
        <v>24.118197925262102</v>
      </c>
      <c r="M37" s="808">
        <f>VLOOKUP($B37,$A$14:$K$23,6,)</f>
        <v>22.485819414104014</v>
      </c>
      <c r="N37" s="811">
        <f>VLOOKUP($B37,$A$14:$K$23,7,)</f>
        <v>20.963924265423834</v>
      </c>
      <c r="O37" s="798"/>
      <c r="P37" s="798"/>
      <c r="Q37" s="798"/>
      <c r="R37" s="798"/>
      <c r="Z37" s="803"/>
      <c r="BX37"/>
    </row>
    <row r="38" spans="1:76" x14ac:dyDescent="0.2">
      <c r="A38" s="802" t="s">
        <v>553</v>
      </c>
      <c r="B38">
        <f t="shared" si="18"/>
        <v>6000</v>
      </c>
      <c r="C38" s="810"/>
      <c r="D38" s="809"/>
      <c r="E38" s="809"/>
      <c r="F38" s="809"/>
      <c r="G38" s="809"/>
      <c r="H38" s="809"/>
      <c r="I38" s="809"/>
      <c r="J38" s="808">
        <f>VLOOKUP($B38,$A$14:$K$23,2,)</f>
        <v>15.276050882016554</v>
      </c>
      <c r="K38" s="808">
        <f>VLOOKUP($B38,$A$14:$K$23,3,)</f>
        <v>21.261706728121649</v>
      </c>
      <c r="L38" s="808">
        <f>VLOOKUP($B38,$A$14:$K$23,4,)</f>
        <v>25.299219448631096</v>
      </c>
      <c r="M38" s="808">
        <f>VLOOKUP($B38,$A$14:$K$23,5,)</f>
        <v>24.118197925262102</v>
      </c>
      <c r="N38" s="811">
        <f>VLOOKUP($B38,$A$14:$K$23,6,)</f>
        <v>22.485819414104014</v>
      </c>
      <c r="O38" s="798"/>
      <c r="P38" s="798"/>
      <c r="Q38" s="798"/>
      <c r="R38" s="798"/>
      <c r="S38" s="798"/>
      <c r="Z38" s="803"/>
      <c r="BX38"/>
    </row>
    <row r="39" spans="1:76" x14ac:dyDescent="0.2">
      <c r="A39" s="802" t="s">
        <v>554</v>
      </c>
      <c r="B39">
        <f t="shared" si="18"/>
        <v>6000</v>
      </c>
      <c r="C39" s="810"/>
      <c r="D39" s="809"/>
      <c r="E39" s="809"/>
      <c r="F39" s="809"/>
      <c r="G39" s="809"/>
      <c r="H39" s="809"/>
      <c r="I39" s="809"/>
      <c r="J39" s="809"/>
      <c r="K39" s="808">
        <f>VLOOKUP($B39,$A$14:$K$23,2,)</f>
        <v>15.276050882016554</v>
      </c>
      <c r="L39" s="808">
        <f>VLOOKUP($B39,$A$14:$K$23,3,)</f>
        <v>21.261706728121649</v>
      </c>
      <c r="M39" s="808">
        <f>VLOOKUP($B39,$A$14:$K$23,4,)</f>
        <v>25.299219448631096</v>
      </c>
      <c r="N39" s="811">
        <f>VLOOKUP($B39,$A$14:$K$23,5,)</f>
        <v>24.118197925262102</v>
      </c>
      <c r="O39" s="798"/>
      <c r="P39" s="798"/>
      <c r="Q39" s="798"/>
      <c r="R39" s="798"/>
      <c r="S39" s="798"/>
      <c r="T39" s="798"/>
      <c r="Z39" s="803"/>
      <c r="BX39"/>
    </row>
    <row r="40" spans="1:76" x14ac:dyDescent="0.2">
      <c r="A40" s="802" t="s">
        <v>555</v>
      </c>
      <c r="B40">
        <f t="shared" si="18"/>
        <v>6000</v>
      </c>
      <c r="C40" s="810"/>
      <c r="D40" s="809"/>
      <c r="E40" s="809"/>
      <c r="F40" s="809"/>
      <c r="G40" s="809"/>
      <c r="H40" s="809"/>
      <c r="I40" s="809"/>
      <c r="J40" s="809"/>
      <c r="K40" s="809"/>
      <c r="L40" s="808">
        <f>VLOOKUP($B40,$A$14:$K$23,2,)</f>
        <v>15.276050882016554</v>
      </c>
      <c r="M40" s="808">
        <f>VLOOKUP($B40,$A$14:$K$23,3,)</f>
        <v>21.261706728121649</v>
      </c>
      <c r="N40" s="811">
        <f>VLOOKUP($B40,$A$14:$K$23,4,)</f>
        <v>25.299219448631096</v>
      </c>
      <c r="O40" s="798"/>
      <c r="P40" s="798"/>
      <c r="Q40" s="798"/>
      <c r="R40" s="798"/>
      <c r="S40" s="798"/>
      <c r="T40" s="798"/>
      <c r="U40" s="798"/>
      <c r="Z40" s="803"/>
      <c r="BX40"/>
    </row>
    <row r="41" spans="1:76" x14ac:dyDescent="0.2">
      <c r="A41" s="802" t="s">
        <v>556</v>
      </c>
      <c r="B41">
        <f t="shared" si="18"/>
        <v>6000</v>
      </c>
      <c r="C41" s="810"/>
      <c r="D41" s="809"/>
      <c r="E41" s="809"/>
      <c r="F41" s="809"/>
      <c r="G41" s="809"/>
      <c r="H41" s="809"/>
      <c r="I41" s="809"/>
      <c r="J41" s="809"/>
      <c r="K41" s="809"/>
      <c r="L41" s="809"/>
      <c r="M41" s="808">
        <f>VLOOKUP($B41,$A$14:$K$23,2,)</f>
        <v>15.276050882016554</v>
      </c>
      <c r="N41" s="811">
        <f>VLOOKUP($B41,$A$14:$K$23,3,)</f>
        <v>21.261706728121649</v>
      </c>
      <c r="O41" s="798"/>
      <c r="P41" s="798"/>
      <c r="Q41" s="798"/>
      <c r="R41" s="798"/>
      <c r="S41" s="798"/>
      <c r="T41" s="798"/>
      <c r="U41" s="798"/>
      <c r="V41" s="798"/>
      <c r="Z41" s="803"/>
      <c r="BX41"/>
    </row>
    <row r="42" spans="1:76" x14ac:dyDescent="0.2">
      <c r="A42" s="802" t="s">
        <v>557</v>
      </c>
      <c r="B42">
        <f t="shared" si="18"/>
        <v>6000</v>
      </c>
      <c r="C42" s="810"/>
      <c r="D42" s="809"/>
      <c r="E42" s="809"/>
      <c r="F42" s="809"/>
      <c r="G42" s="809"/>
      <c r="H42" s="809"/>
      <c r="I42" s="809"/>
      <c r="J42" s="809"/>
      <c r="K42" s="809"/>
      <c r="L42" s="809"/>
      <c r="M42" s="809"/>
      <c r="N42" s="811">
        <f>VLOOKUP($B42,$A$14:$K$23,2,)</f>
        <v>15.276050882016554</v>
      </c>
      <c r="O42" s="798"/>
      <c r="P42" s="798"/>
      <c r="Q42" s="798"/>
      <c r="R42" s="798"/>
      <c r="S42" s="798"/>
      <c r="T42" s="798"/>
      <c r="U42" s="798"/>
      <c r="V42" s="798"/>
      <c r="W42" s="798"/>
      <c r="Z42" s="803"/>
      <c r="BX42"/>
    </row>
    <row r="43" spans="1:76" x14ac:dyDescent="0.2">
      <c r="C43">
        <f>$C$27*C31*C26</f>
        <v>0</v>
      </c>
      <c r="D43">
        <f>$C$27*D31*D26+$D$27*D32*D26</f>
        <v>0</v>
      </c>
      <c r="E43">
        <f>$C$27*E31*E26+$D$27*E32*E26+$E$27*E33*E26</f>
        <v>8997.5939695077504</v>
      </c>
      <c r="F43">
        <f>$C$27*F31*F26+$D$27*F32*F26+$E$27*F33*F26+$F$27*F34*F26</f>
        <v>47865.131898948079</v>
      </c>
      <c r="G43">
        <f>$C$27*G31*G26+$D$27*G32*G26+$E$27*G33*G26+$F$27*G34*G26+$G$27*G35*G26</f>
        <v>133557.22310647875</v>
      </c>
      <c r="H43">
        <f>$C$27*H31*H26+$D$27*H32*H26+$E$27*H33*H26+$F$27*H34*H26+$G$27*H35*H26+$H$27*H36*H26</f>
        <v>208278.44314138946</v>
      </c>
      <c r="I43">
        <f>$C$27*I31*I26+$D$27*I32*I26+$E$27*I33*I26+$F$27*I34*I26+$G$27*I35*I26+$H$27*I36*I26+$I$27*I37*I26</f>
        <v>229969.82481534398</v>
      </c>
      <c r="J43">
        <f>$C$27*J31*J26+$D$27*J32*J26+$E$27*J33*J26+$F$27*J34*J26+$G$27*J35*J26+$H$27*J36*J26+$I$27*J37*J26+$J$27*J38*J26</f>
        <v>237981.66164396971</v>
      </c>
      <c r="K43">
        <f>$C$27*K31*K26+$D$27*K32*K26+$E$27*K33*K26+$F$27*K34*K26+$G$27*K35*K26+$H$27*K36*K26+$I$27*K37*K26+$J$27*K38*K26+$K$27*K39*K26</f>
        <v>216040.15609553826</v>
      </c>
      <c r="L43">
        <f>$C$27*L31*L26+$D$27*L32*L26+$E$27*L33*L26+$F$27*L34*L26+$G$27*L35*L26+$H$27*L36*L26+$I$27*L37*L26+$J$27*L38*L26+$K$27*L39*L26+$L$27*L40*L26</f>
        <v>208131.96531459075</v>
      </c>
      <c r="M43">
        <f>$C$27*M31*M26+$D$27*M32*M26+$E$27*M33*M26+$F$27*M34*M26+$G$27*M35*M26+$H$27*M36*M26+$I$27*M37*M26+$J$27*M38*M26+$K$27*M39*M26+$L$27*M40*M26+$M$27*M41*M26</f>
        <v>194045.08582560648</v>
      </c>
      <c r="N43">
        <f>$C$27*N31*N26+$D$27*N32*N26+$E$27*N33*N26+$F$27*N34*N26+$G$27*N35*N26+$H$27*N36*N26+$I$27*N37*N26+$J$27*N38*N26+$K$27*N39*N26+$L$27*N40*N26+$M$27*N41*N26+$N$27*N42*N26</f>
        <v>163404.06259329774</v>
      </c>
      <c r="O43">
        <f>O30*O26*O31</f>
        <v>533820</v>
      </c>
      <c r="P43">
        <f t="shared" ref="P43:Z43" si="19">P30*P26*P31</f>
        <v>516600</v>
      </c>
      <c r="Q43">
        <f t="shared" si="19"/>
        <v>477555</v>
      </c>
      <c r="R43">
        <f t="shared" si="19"/>
        <v>407700</v>
      </c>
      <c r="S43">
        <f t="shared" si="19"/>
        <v>381067.5</v>
      </c>
      <c r="T43">
        <f t="shared" si="19"/>
        <v>615195</v>
      </c>
      <c r="U43">
        <f t="shared" si="19"/>
        <v>587250</v>
      </c>
      <c r="V43">
        <f t="shared" si="19"/>
        <v>598455</v>
      </c>
      <c r="W43">
        <f t="shared" si="19"/>
        <v>571050</v>
      </c>
      <c r="X43">
        <f t="shared" si="19"/>
        <v>581715</v>
      </c>
      <c r="Y43">
        <f t="shared" si="19"/>
        <v>573345</v>
      </c>
      <c r="Z43">
        <f t="shared" si="19"/>
        <v>510300</v>
      </c>
      <c r="BX43"/>
    </row>
    <row r="44" spans="1:76" x14ac:dyDescent="0.2">
      <c r="BX44"/>
    </row>
    <row r="45" spans="1:76" x14ac:dyDescent="0.2">
      <c r="BX45"/>
    </row>
    <row r="46" spans="1:76" x14ac:dyDescent="0.2">
      <c r="BX46"/>
    </row>
    <row r="47" spans="1:76" x14ac:dyDescent="0.2">
      <c r="BX47"/>
    </row>
    <row r="48" spans="1:76" x14ac:dyDescent="0.2">
      <c r="BX48"/>
    </row>
    <row r="49" spans="76:76" x14ac:dyDescent="0.2">
      <c r="BX49"/>
    </row>
    <row r="50" spans="76:76" x14ac:dyDescent="0.2">
      <c r="BX50"/>
    </row>
    <row r="51" spans="76:76" x14ac:dyDescent="0.2">
      <c r="BX51"/>
    </row>
    <row r="52" spans="76:76" x14ac:dyDescent="0.2">
      <c r="BX52"/>
    </row>
    <row r="53" spans="76:76" x14ac:dyDescent="0.2">
      <c r="BX53"/>
    </row>
    <row r="54" spans="76:76" x14ac:dyDescent="0.2">
      <c r="BX54"/>
    </row>
    <row r="55" spans="76:76" x14ac:dyDescent="0.2">
      <c r="BX55"/>
    </row>
    <row r="56" spans="76:76" x14ac:dyDescent="0.2">
      <c r="BX56"/>
    </row>
    <row r="57" spans="76:76" x14ac:dyDescent="0.2">
      <c r="BX57"/>
    </row>
    <row r="58" spans="76:76" x14ac:dyDescent="0.2">
      <c r="BX58"/>
    </row>
    <row r="59" spans="76:76" x14ac:dyDescent="0.2">
      <c r="BX59"/>
    </row>
    <row r="60" spans="76:76" x14ac:dyDescent="0.2">
      <c r="BX60"/>
    </row>
    <row r="61" spans="76:76" x14ac:dyDescent="0.2">
      <c r="BX61"/>
    </row>
    <row r="62" spans="76:76" x14ac:dyDescent="0.2">
      <c r="BX62"/>
    </row>
    <row r="63" spans="76:76" x14ac:dyDescent="0.2">
      <c r="BX63"/>
    </row>
    <row r="64" spans="76:76" x14ac:dyDescent="0.2">
      <c r="BX64"/>
    </row>
    <row r="65" spans="76:76" x14ac:dyDescent="0.2">
      <c r="BX65"/>
    </row>
    <row r="66" spans="76:76" x14ac:dyDescent="0.2">
      <c r="BX66"/>
    </row>
    <row r="67" spans="76:76" x14ac:dyDescent="0.2">
      <c r="BX67"/>
    </row>
    <row r="68" spans="76:76" x14ac:dyDescent="0.2">
      <c r="BX68"/>
    </row>
    <row r="69" spans="76:76" x14ac:dyDescent="0.2">
      <c r="BX69"/>
    </row>
    <row r="70" spans="76:76" x14ac:dyDescent="0.2">
      <c r="BX70"/>
    </row>
    <row r="71" spans="76:76" x14ac:dyDescent="0.2">
      <c r="BX71"/>
    </row>
    <row r="72" spans="76:76" x14ac:dyDescent="0.2">
      <c r="BX72"/>
    </row>
    <row r="73" spans="76:76" x14ac:dyDescent="0.2">
      <c r="BX73"/>
    </row>
    <row r="74" spans="76:76" x14ac:dyDescent="0.2">
      <c r="BX74"/>
    </row>
    <row r="75" spans="76:76" x14ac:dyDescent="0.2">
      <c r="BX75"/>
    </row>
    <row r="76" spans="76:76" x14ac:dyDescent="0.2">
      <c r="BX76"/>
    </row>
    <row r="77" spans="76:76" x14ac:dyDescent="0.2">
      <c r="BX77"/>
    </row>
    <row r="78" spans="76:76" x14ac:dyDescent="0.2">
      <c r="BX78"/>
    </row>
    <row r="79" spans="76:76" s="4" customFormat="1" x14ac:dyDescent="0.2"/>
    <row r="80" spans="76:76" x14ac:dyDescent="0.2">
      <c r="BX80"/>
    </row>
    <row r="81" spans="76:76" x14ac:dyDescent="0.2">
      <c r="BX81"/>
    </row>
    <row r="82" spans="76:76" x14ac:dyDescent="0.2">
      <c r="BX82"/>
    </row>
    <row r="83" spans="76:76" x14ac:dyDescent="0.2">
      <c r="BX83"/>
    </row>
    <row r="84" spans="76:76" x14ac:dyDescent="0.2">
      <c r="BX84"/>
    </row>
    <row r="85" spans="76:76" x14ac:dyDescent="0.2">
      <c r="BX85"/>
    </row>
    <row r="86" spans="76:76" x14ac:dyDescent="0.2">
      <c r="BX86"/>
    </row>
    <row r="87" spans="76:76" x14ac:dyDescent="0.2">
      <c r="BX87"/>
    </row>
    <row r="88" spans="76:76" x14ac:dyDescent="0.2">
      <c r="BX88"/>
    </row>
    <row r="89" spans="76:76" x14ac:dyDescent="0.2">
      <c r="BX89"/>
    </row>
    <row r="90" spans="76:76" x14ac:dyDescent="0.2">
      <c r="BX90"/>
    </row>
    <row r="91" spans="76:76" s="804" customFormat="1" x14ac:dyDescent="0.2"/>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AY112"/>
  <sheetViews>
    <sheetView showGridLines="0" topLeftCell="C1" zoomScaleNormal="100" workbookViewId="0">
      <pane ySplit="11" topLeftCell="A12" activePane="bottomLeft" state="frozen"/>
      <selection sqref="A1:XFD1048576"/>
      <selection pane="bottomLeft" activeCell="Q52" sqref="Q52"/>
    </sheetView>
  </sheetViews>
  <sheetFormatPr defaultColWidth="8.1640625" defaultRowHeight="12.75" x14ac:dyDescent="0.2"/>
  <cols>
    <col min="1" max="1" width="1.1640625" style="2" customWidth="1"/>
    <col min="2" max="2" width="2.33203125" style="2" customWidth="1"/>
    <col min="3" max="3" width="37.5" style="2" customWidth="1"/>
    <col min="4" max="4" width="13.6640625" style="2" customWidth="1"/>
    <col min="5" max="16" width="12.1640625" style="2" customWidth="1"/>
    <col min="17" max="17" width="17" style="2" customWidth="1"/>
    <col min="18" max="18" width="4.6640625" style="2" customWidth="1"/>
    <col min="19" max="19" width="10.33203125" style="2" customWidth="1"/>
    <col min="20" max="20" width="12.1640625" style="2" hidden="1" customWidth="1"/>
    <col min="21" max="21" width="22.1640625" style="2" hidden="1" customWidth="1"/>
    <col min="22" max="22" width="14" style="2" hidden="1" customWidth="1"/>
    <col min="23" max="23" width="27.6640625" style="2" hidden="1" customWidth="1"/>
    <col min="24" max="24" width="9.6640625" style="2" hidden="1" customWidth="1"/>
    <col min="25" max="35" width="9.1640625" style="2" hidden="1" customWidth="1"/>
    <col min="36" max="36" width="12.5" style="2" hidden="1" customWidth="1"/>
    <col min="37" max="37" width="10.1640625" style="2" hidden="1" customWidth="1"/>
    <col min="38" max="38" width="0" style="2" hidden="1" customWidth="1"/>
    <col min="39" max="16384" width="8.1640625" style="2"/>
  </cols>
  <sheetData>
    <row r="1" spans="2:19" ht="18.75" x14ac:dyDescent="0.3">
      <c r="B1" s="836" t="s">
        <v>282</v>
      </c>
      <c r="C1" s="836"/>
      <c r="D1" s="836"/>
      <c r="E1" s="836"/>
      <c r="F1" s="836"/>
      <c r="G1" s="836"/>
      <c r="H1" s="836"/>
      <c r="I1" s="836"/>
      <c r="J1" s="836"/>
      <c r="K1" s="836"/>
      <c r="L1" s="836"/>
      <c r="M1" s="836"/>
      <c r="N1" s="836"/>
      <c r="O1" s="836"/>
      <c r="P1" s="836"/>
      <c r="Q1" s="836"/>
    </row>
    <row r="2" spans="2:19" ht="24" customHeight="1" x14ac:dyDescent="0.25">
      <c r="B2" s="837" t="s">
        <v>175</v>
      </c>
      <c r="C2" s="837"/>
    </row>
    <row r="3" spans="2:19" ht="24" customHeight="1" thickBot="1" x14ac:dyDescent="0.3">
      <c r="B3" s="285"/>
    </row>
    <row r="4" spans="2:19" x14ac:dyDescent="0.2">
      <c r="B4" s="93" t="s">
        <v>107</v>
      </c>
      <c r="C4" s="94"/>
      <c r="D4" s="94"/>
      <c r="E4" s="94"/>
      <c r="F4" s="94"/>
      <c r="G4" s="94"/>
      <c r="H4" s="94"/>
      <c r="I4" s="94"/>
      <c r="J4" s="94"/>
      <c r="K4" s="94"/>
      <c r="L4" s="94"/>
      <c r="M4" s="94"/>
      <c r="N4" s="94"/>
      <c r="O4" s="94"/>
      <c r="P4" s="94"/>
      <c r="Q4" s="95"/>
    </row>
    <row r="5" spans="2:19" x14ac:dyDescent="0.2">
      <c r="B5" s="37"/>
      <c r="C5" s="14" t="s">
        <v>108</v>
      </c>
      <c r="D5" s="14"/>
      <c r="E5" s="14"/>
      <c r="F5" s="14"/>
      <c r="G5" s="478" t="s">
        <v>562</v>
      </c>
      <c r="H5" s="478"/>
      <c r="I5" s="14"/>
      <c r="J5" s="14"/>
      <c r="K5" s="14"/>
      <c r="L5" s="14"/>
      <c r="M5" s="14"/>
      <c r="N5" s="14"/>
      <c r="O5" s="14"/>
      <c r="P5" s="14"/>
      <c r="Q5" s="96"/>
    </row>
    <row r="6" spans="2:19" x14ac:dyDescent="0.2">
      <c r="B6" s="97"/>
      <c r="C6" s="98" t="s">
        <v>109</v>
      </c>
      <c r="D6" s="98"/>
      <c r="E6" s="36"/>
      <c r="F6" s="36"/>
      <c r="G6" s="476">
        <v>700</v>
      </c>
      <c r="H6" s="98" t="s">
        <v>43</v>
      </c>
      <c r="I6" s="99"/>
      <c r="J6" s="14"/>
      <c r="K6" s="14"/>
      <c r="L6" s="14"/>
      <c r="M6" s="14"/>
      <c r="N6" s="14"/>
      <c r="O6" s="14"/>
      <c r="P6" s="14"/>
      <c r="Q6" s="96"/>
    </row>
    <row r="7" spans="2:19" x14ac:dyDescent="0.2">
      <c r="B7" s="97"/>
      <c r="C7" s="98" t="s">
        <v>110</v>
      </c>
      <c r="D7" s="14"/>
      <c r="E7" s="98"/>
      <c r="F7" s="99"/>
      <c r="G7" s="477">
        <v>0.75</v>
      </c>
      <c r="H7" s="14"/>
      <c r="I7" s="100"/>
      <c r="J7" s="14"/>
      <c r="K7" s="14"/>
      <c r="L7" s="14"/>
      <c r="M7" s="101"/>
      <c r="N7" s="14"/>
      <c r="O7" s="14"/>
      <c r="P7" s="14"/>
      <c r="Q7" s="96"/>
    </row>
    <row r="8" spans="2:19" x14ac:dyDescent="0.2">
      <c r="B8" s="97"/>
      <c r="C8" s="14" t="s">
        <v>111</v>
      </c>
      <c r="D8" s="14"/>
      <c r="E8" s="98"/>
      <c r="F8" s="99"/>
      <c r="G8" s="478">
        <v>12500</v>
      </c>
      <c r="H8" s="14" t="s">
        <v>43</v>
      </c>
      <c r="I8" s="100"/>
      <c r="J8" s="14"/>
      <c r="K8" s="14"/>
      <c r="L8" s="14"/>
      <c r="M8" s="101"/>
      <c r="N8" s="14"/>
      <c r="O8" s="14"/>
      <c r="P8" s="14"/>
      <c r="Q8" s="96"/>
    </row>
    <row r="9" spans="2:19" ht="13.5" thickBot="1" x14ac:dyDescent="0.25">
      <c r="B9" s="102"/>
      <c r="C9" s="103"/>
      <c r="D9" s="103"/>
      <c r="E9" s="104"/>
      <c r="F9" s="105"/>
      <c r="G9" s="103"/>
      <c r="H9" s="103"/>
      <c r="I9" s="106"/>
      <c r="J9" s="103"/>
      <c r="K9" s="103"/>
      <c r="L9" s="103"/>
      <c r="M9" s="107"/>
      <c r="N9" s="103"/>
      <c r="O9" s="103"/>
      <c r="P9" s="103"/>
      <c r="Q9" s="108"/>
    </row>
    <row r="10" spans="2:19" ht="6.75" customHeight="1" thickBot="1" x14ac:dyDescent="0.25">
      <c r="E10" s="25"/>
    </row>
    <row r="11" spans="2:19" x14ac:dyDescent="0.2">
      <c r="B11" s="26" t="s">
        <v>1</v>
      </c>
      <c r="C11" s="27"/>
      <c r="D11" s="28"/>
      <c r="E11" s="19" t="str">
        <f>Summary!D5</f>
        <v>Mar</v>
      </c>
      <c r="F11" s="19" t="str">
        <f>Summary!E5</f>
        <v>Apr</v>
      </c>
      <c r="G11" s="19" t="str">
        <f>Summary!F5</f>
        <v>May</v>
      </c>
      <c r="H11" s="19" t="str">
        <f>Summary!G5</f>
        <v>Jun</v>
      </c>
      <c r="I11" s="19" t="str">
        <f>Summary!H5</f>
        <v>Jul</v>
      </c>
      <c r="J11" s="19" t="str">
        <f>Summary!I5</f>
        <v>Aug</v>
      </c>
      <c r="K11" s="19" t="str">
        <f>Summary!J5</f>
        <v>Sep</v>
      </c>
      <c r="L11" s="19" t="str">
        <f>Summary!K5</f>
        <v>Oct</v>
      </c>
      <c r="M11" s="19" t="str">
        <f>Summary!L5</f>
        <v>Nov</v>
      </c>
      <c r="N11" s="19" t="str">
        <f>Summary!M5</f>
        <v>Dec</v>
      </c>
      <c r="O11" s="19" t="str">
        <f>Summary!N5</f>
        <v>Jan</v>
      </c>
      <c r="P11" s="19" t="str">
        <f>Summary!O5</f>
        <v>Feb</v>
      </c>
      <c r="Q11" s="29"/>
    </row>
    <row r="12" spans="2:19" x14ac:dyDescent="0.2">
      <c r="B12" s="30" t="s">
        <v>18</v>
      </c>
      <c r="C12" s="31"/>
      <c r="D12" s="32"/>
      <c r="E12" s="33">
        <v>31</v>
      </c>
      <c r="F12" s="33">
        <v>30</v>
      </c>
      <c r="G12" s="33">
        <v>31</v>
      </c>
      <c r="H12" s="33">
        <v>30</v>
      </c>
      <c r="I12" s="33">
        <v>31</v>
      </c>
      <c r="J12" s="33">
        <v>31</v>
      </c>
      <c r="K12" s="33">
        <v>30</v>
      </c>
      <c r="L12" s="33">
        <v>31</v>
      </c>
      <c r="M12" s="33">
        <v>30</v>
      </c>
      <c r="N12" s="33">
        <v>31</v>
      </c>
      <c r="O12" s="33">
        <v>31</v>
      </c>
      <c r="P12" s="33">
        <v>28</v>
      </c>
      <c r="Q12" s="34">
        <f>SUM(E12:P12)</f>
        <v>365</v>
      </c>
    </row>
    <row r="13" spans="2:19" ht="15.75" x14ac:dyDescent="0.25">
      <c r="B13" s="35" t="s">
        <v>33</v>
      </c>
      <c r="C13" s="109"/>
      <c r="D13" s="110"/>
      <c r="E13" s="111"/>
      <c r="F13" s="111"/>
      <c r="G13" s="111"/>
      <c r="H13" s="111"/>
      <c r="I13" s="111"/>
      <c r="J13" s="111"/>
      <c r="K13" s="111"/>
      <c r="L13" s="111"/>
      <c r="M13" s="111"/>
      <c r="N13" s="111"/>
      <c r="O13" s="111"/>
      <c r="P13" s="111"/>
      <c r="Q13" s="112" t="s">
        <v>34</v>
      </c>
    </row>
    <row r="14" spans="2:19" x14ac:dyDescent="0.2">
      <c r="B14" s="37"/>
      <c r="C14" s="113" t="str">
        <f>'P1 Area'!P7</f>
        <v>Irr - Kik/Chic/Oats</v>
      </c>
      <c r="D14" s="114" t="s">
        <v>22</v>
      </c>
      <c r="E14" s="115">
        <f>'P1 Area'!Q7</f>
        <v>0</v>
      </c>
      <c r="F14" s="115">
        <f>'P1 Area'!R7</f>
        <v>0</v>
      </c>
      <c r="G14" s="115">
        <f>'P1 Area'!S7</f>
        <v>0</v>
      </c>
      <c r="H14" s="115">
        <f>'P1 Area'!T7</f>
        <v>0</v>
      </c>
      <c r="I14" s="115">
        <f>'P1 Area'!U7</f>
        <v>0</v>
      </c>
      <c r="J14" s="115">
        <f>'P1 Area'!V7</f>
        <v>0</v>
      </c>
      <c r="K14" s="115">
        <f>'P1 Area'!W7</f>
        <v>0</v>
      </c>
      <c r="L14" s="115">
        <f>'P1 Area'!X7</f>
        <v>0</v>
      </c>
      <c r="M14" s="115">
        <f>'P1 Area'!Y7</f>
        <v>0</v>
      </c>
      <c r="N14" s="115">
        <f>'P1 Area'!Z7</f>
        <v>0</v>
      </c>
      <c r="O14" s="115">
        <f>'P1 Area'!AA7</f>
        <v>0</v>
      </c>
      <c r="P14" s="115">
        <f>'P1 Area'!AB7</f>
        <v>0</v>
      </c>
      <c r="Q14" s="116">
        <f>(E14*E$12+F14*F$12+G14*G$12+H14*H$12+I14*I$12+J14*J$12+K14*K$12+L14*L$12+M14*M$12+N14*N$12+O14*O$12+P14*P$12)/365</f>
        <v>0</v>
      </c>
      <c r="S14" s="322" t="e">
        <f>Q14/$Q$21</f>
        <v>#DIV/0!</v>
      </c>
    </row>
    <row r="15" spans="2:19" x14ac:dyDescent="0.2">
      <c r="B15" s="37"/>
      <c r="C15" s="113" t="str">
        <f>'P1 Area'!P8</f>
        <v>Dry - Kik/Chic/Oats</v>
      </c>
      <c r="D15" s="114" t="s">
        <v>22</v>
      </c>
      <c r="E15" s="115">
        <f>'P1 Area'!Q8</f>
        <v>0</v>
      </c>
      <c r="F15" s="115">
        <f>'P1 Area'!R8</f>
        <v>0</v>
      </c>
      <c r="G15" s="115">
        <f>'P1 Area'!S8</f>
        <v>0</v>
      </c>
      <c r="H15" s="115">
        <f>'P1 Area'!T8</f>
        <v>0</v>
      </c>
      <c r="I15" s="115">
        <f>'P1 Area'!U8</f>
        <v>0</v>
      </c>
      <c r="J15" s="115">
        <f>'P1 Area'!V8</f>
        <v>0</v>
      </c>
      <c r="K15" s="115">
        <f>'P1 Area'!W8</f>
        <v>0</v>
      </c>
      <c r="L15" s="115">
        <f>'P1 Area'!X8</f>
        <v>0</v>
      </c>
      <c r="M15" s="115">
        <f>'P1 Area'!Y8</f>
        <v>0</v>
      </c>
      <c r="N15" s="115">
        <f>'P1 Area'!Z8</f>
        <v>0</v>
      </c>
      <c r="O15" s="115">
        <f>'P1 Area'!AA8</f>
        <v>0</v>
      </c>
      <c r="P15" s="115">
        <f>'P1 Area'!AB8</f>
        <v>0</v>
      </c>
      <c r="Q15" s="116">
        <f>(E15*E$12+F15*F$12+G15*G$12+H15*H$12+I15*I$12+J15*J$12+K15*K$12+L15*L$12+M15*M$12+N15*N$12+O15*O$12+P15*P$12)/365</f>
        <v>0</v>
      </c>
      <c r="S15" s="322" t="e">
        <f t="shared" ref="S15:S16" si="0">Q15/$Q$21</f>
        <v>#DIV/0!</v>
      </c>
    </row>
    <row r="16" spans="2:19" x14ac:dyDescent="0.2">
      <c r="B16" s="37"/>
      <c r="C16" s="113" t="str">
        <f>'P1 Area'!P9</f>
        <v>Dry - Kik</v>
      </c>
      <c r="D16" s="114" t="s">
        <v>22</v>
      </c>
      <c r="E16" s="115">
        <f>'P1 Area'!Q9</f>
        <v>0</v>
      </c>
      <c r="F16" s="115">
        <f>'P1 Area'!R9</f>
        <v>0</v>
      </c>
      <c r="G16" s="115">
        <f>'P1 Area'!S9</f>
        <v>0</v>
      </c>
      <c r="H16" s="115">
        <f>'P1 Area'!T9</f>
        <v>0</v>
      </c>
      <c r="I16" s="115">
        <f>'P1 Area'!U9</f>
        <v>0</v>
      </c>
      <c r="J16" s="115">
        <f>'P1 Area'!V9</f>
        <v>0</v>
      </c>
      <c r="K16" s="115">
        <f>'P1 Area'!W9</f>
        <v>0</v>
      </c>
      <c r="L16" s="115">
        <f>'P1 Area'!X9</f>
        <v>0</v>
      </c>
      <c r="M16" s="115">
        <f>'P1 Area'!Y9</f>
        <v>0</v>
      </c>
      <c r="N16" s="115">
        <f>'P1 Area'!Z9</f>
        <v>0</v>
      </c>
      <c r="O16" s="115">
        <f>'P1 Area'!AA9</f>
        <v>0</v>
      </c>
      <c r="P16" s="115">
        <f>'P1 Area'!AB9</f>
        <v>0</v>
      </c>
      <c r="Q16" s="116">
        <f>(E16*E$12+F16*F$12+G16*G$12+H16*H$12+I16*I$12+J16*J$12+K16*K$12+L16*L$12+M16*M$12+N16*N$12+O16*O$12+P16*P$12)/365</f>
        <v>0</v>
      </c>
      <c r="S16" s="322" t="e">
        <f t="shared" si="0"/>
        <v>#DIV/0!</v>
      </c>
    </row>
    <row r="17" spans="2:51" x14ac:dyDescent="0.2">
      <c r="B17" s="37"/>
      <c r="C17" s="113">
        <f>'P1 Area'!P10</f>
        <v>0</v>
      </c>
      <c r="D17" s="114" t="s">
        <v>22</v>
      </c>
      <c r="E17" s="115">
        <f>'P1 Area'!Q10</f>
        <v>0</v>
      </c>
      <c r="F17" s="115">
        <f>'P1 Area'!R10</f>
        <v>0</v>
      </c>
      <c r="G17" s="115">
        <f>'P1 Area'!S10</f>
        <v>0</v>
      </c>
      <c r="H17" s="115">
        <f>'P1 Area'!T10</f>
        <v>0</v>
      </c>
      <c r="I17" s="115">
        <f>'P1 Area'!U10</f>
        <v>0</v>
      </c>
      <c r="J17" s="115">
        <f>'P1 Area'!V10</f>
        <v>0</v>
      </c>
      <c r="K17" s="115">
        <f>'P1 Area'!W10</f>
        <v>0</v>
      </c>
      <c r="L17" s="115">
        <f>'P1 Area'!X10</f>
        <v>0</v>
      </c>
      <c r="M17" s="115">
        <f>'P1 Area'!Y10</f>
        <v>0</v>
      </c>
      <c r="N17" s="115">
        <f>'P1 Area'!Z10</f>
        <v>0</v>
      </c>
      <c r="O17" s="115">
        <f>'P1 Area'!AA10</f>
        <v>0</v>
      </c>
      <c r="P17" s="115">
        <f>'P1 Area'!AB10</f>
        <v>0</v>
      </c>
      <c r="Q17" s="116">
        <f>(E17*E$12+F17*F$12+G17*G$12+H17*H$12+I17*I$12+J17*J$12+K17*K$12+L17*L$12+M17*M$12+N17*N$12+O17*O$12+P17*P$12)/365</f>
        <v>0</v>
      </c>
    </row>
    <row r="18" spans="2:51" x14ac:dyDescent="0.2">
      <c r="B18" s="37"/>
      <c r="C18" s="113">
        <f>'P1 Area'!P11</f>
        <v>0</v>
      </c>
      <c r="D18" s="114" t="s">
        <v>22</v>
      </c>
      <c r="E18" s="115">
        <f>'P1 Area'!Q11</f>
        <v>0</v>
      </c>
      <c r="F18" s="115">
        <f>'P1 Area'!R11</f>
        <v>0</v>
      </c>
      <c r="G18" s="115">
        <f>'P1 Area'!S11</f>
        <v>0</v>
      </c>
      <c r="H18" s="115">
        <f>'P1 Area'!T11</f>
        <v>0</v>
      </c>
      <c r="I18" s="115">
        <f>'P1 Area'!U11</f>
        <v>0</v>
      </c>
      <c r="J18" s="115">
        <f>'P1 Area'!V11</f>
        <v>0</v>
      </c>
      <c r="K18" s="115">
        <f>'P1 Area'!W11</f>
        <v>0</v>
      </c>
      <c r="L18" s="115">
        <f>'P1 Area'!X11</f>
        <v>0</v>
      </c>
      <c r="M18" s="115">
        <f>'P1 Area'!Y11</f>
        <v>0</v>
      </c>
      <c r="N18" s="115">
        <f>'P1 Area'!Z11</f>
        <v>0</v>
      </c>
      <c r="O18" s="115">
        <f>'P1 Area'!AA11</f>
        <v>0</v>
      </c>
      <c r="P18" s="115">
        <f>'P1 Area'!AB11</f>
        <v>0</v>
      </c>
      <c r="Q18" s="116">
        <f t="shared" ref="Q18:Q20" si="1">(E18*E$12+F18*F$12+G18*G$12+H18*H$12+I18*I$12+J18*J$12+K18*K$12+L18*L$12+M18*M$12+N18*N$12+O18*O$12+P18*P$12)/365</f>
        <v>0</v>
      </c>
    </row>
    <row r="19" spans="2:51" x14ac:dyDescent="0.2">
      <c r="B19" s="37"/>
      <c r="C19" s="113"/>
      <c r="D19" s="114" t="s">
        <v>22</v>
      </c>
      <c r="E19" s="115"/>
      <c r="F19" s="115"/>
      <c r="G19" s="115"/>
      <c r="H19" s="115"/>
      <c r="I19" s="115"/>
      <c r="J19" s="115"/>
      <c r="K19" s="115"/>
      <c r="L19" s="115"/>
      <c r="M19" s="115"/>
      <c r="N19" s="115"/>
      <c r="O19" s="115"/>
      <c r="P19" s="115"/>
      <c r="Q19" s="116">
        <f t="shared" si="1"/>
        <v>0</v>
      </c>
    </row>
    <row r="20" spans="2:51" x14ac:dyDescent="0.2">
      <c r="B20" s="37"/>
      <c r="C20" s="113"/>
      <c r="D20" s="114" t="s">
        <v>22</v>
      </c>
      <c r="E20" s="115"/>
      <c r="F20" s="115"/>
      <c r="G20" s="115"/>
      <c r="H20" s="115"/>
      <c r="I20" s="115"/>
      <c r="J20" s="115"/>
      <c r="K20" s="115"/>
      <c r="L20" s="115"/>
      <c r="M20" s="115"/>
      <c r="N20" s="115"/>
      <c r="O20" s="115"/>
      <c r="P20" s="115"/>
      <c r="Q20" s="116">
        <f t="shared" si="1"/>
        <v>0</v>
      </c>
    </row>
    <row r="21" spans="2:51" ht="13.5" thickBot="1" x14ac:dyDescent="0.25">
      <c r="B21" s="37"/>
      <c r="C21" s="117" t="s">
        <v>441</v>
      </c>
      <c r="D21" s="118" t="s">
        <v>22</v>
      </c>
      <c r="E21" s="119">
        <f t="shared" ref="E21:P21" si="2">SUM(E14:E18)</f>
        <v>0</v>
      </c>
      <c r="F21" s="119">
        <f t="shared" si="2"/>
        <v>0</v>
      </c>
      <c r="G21" s="119">
        <f t="shared" si="2"/>
        <v>0</v>
      </c>
      <c r="H21" s="119">
        <f t="shared" si="2"/>
        <v>0</v>
      </c>
      <c r="I21" s="119">
        <f t="shared" si="2"/>
        <v>0</v>
      </c>
      <c r="J21" s="119">
        <f t="shared" si="2"/>
        <v>0</v>
      </c>
      <c r="K21" s="119">
        <f t="shared" si="2"/>
        <v>0</v>
      </c>
      <c r="L21" s="119">
        <f t="shared" si="2"/>
        <v>0</v>
      </c>
      <c r="M21" s="119">
        <f t="shared" si="2"/>
        <v>0</v>
      </c>
      <c r="N21" s="119">
        <f t="shared" si="2"/>
        <v>0</v>
      </c>
      <c r="O21" s="119">
        <f t="shared" si="2"/>
        <v>0</v>
      </c>
      <c r="P21" s="119">
        <f t="shared" si="2"/>
        <v>0</v>
      </c>
      <c r="Q21" s="120">
        <f>SUM(Q14:Q20)</f>
        <v>0</v>
      </c>
    </row>
    <row r="22" spans="2:51" ht="20.25" customHeight="1" thickBot="1" x14ac:dyDescent="0.25">
      <c r="B22" s="121" t="s">
        <v>84</v>
      </c>
      <c r="C22" s="38"/>
      <c r="D22" s="238"/>
      <c r="E22" s="39"/>
      <c r="F22" s="39"/>
      <c r="G22" s="39"/>
      <c r="H22" s="39"/>
      <c r="I22" s="39"/>
      <c r="J22" s="39"/>
      <c r="K22" s="39"/>
      <c r="L22" s="39"/>
      <c r="M22" s="39"/>
      <c r="N22" s="39"/>
      <c r="O22" s="39"/>
      <c r="P22" s="39"/>
      <c r="Q22" s="239"/>
    </row>
    <row r="23" spans="2:51" ht="25.5" x14ac:dyDescent="0.2">
      <c r="B23" s="40" t="s">
        <v>183</v>
      </c>
      <c r="C23" s="41"/>
      <c r="D23" s="41"/>
      <c r="E23" s="41"/>
      <c r="F23" s="41"/>
      <c r="G23" s="41"/>
      <c r="H23" s="41"/>
      <c r="I23" s="41"/>
      <c r="J23" s="41"/>
      <c r="K23" s="41"/>
      <c r="L23" s="41"/>
      <c r="M23" s="41"/>
      <c r="N23" s="41"/>
      <c r="O23" s="41"/>
      <c r="P23" s="41"/>
      <c r="Q23" s="240" t="s">
        <v>26</v>
      </c>
      <c r="S23" s="43"/>
      <c r="U23" s="19" t="s">
        <v>104</v>
      </c>
      <c r="V23" s="86" t="s">
        <v>103</v>
      </c>
      <c r="W23" s="19"/>
      <c r="X23" s="19" t="s">
        <v>2</v>
      </c>
      <c r="Y23" s="19" t="s">
        <v>3</v>
      </c>
      <c r="Z23" s="19" t="s">
        <v>4</v>
      </c>
      <c r="AA23" s="19" t="s">
        <v>5</v>
      </c>
      <c r="AB23" s="19" t="s">
        <v>6</v>
      </c>
      <c r="AC23" s="19" t="s">
        <v>7</v>
      </c>
      <c r="AD23" s="19" t="s">
        <v>8</v>
      </c>
      <c r="AE23" s="19" t="s">
        <v>9</v>
      </c>
      <c r="AF23" s="19" t="s">
        <v>10</v>
      </c>
      <c r="AG23" s="19" t="s">
        <v>11</v>
      </c>
      <c r="AH23" s="19" t="s">
        <v>12</v>
      </c>
      <c r="AI23" s="19" t="s">
        <v>13</v>
      </c>
      <c r="AJ23" s="86" t="s">
        <v>74</v>
      </c>
      <c r="AK23" s="86" t="s">
        <v>75</v>
      </c>
      <c r="AN23" s="2" t="s">
        <v>2</v>
      </c>
      <c r="AO23" s="2" t="s">
        <v>3</v>
      </c>
      <c r="AP23" s="2" t="s">
        <v>4</v>
      </c>
      <c r="AQ23" s="2" t="s">
        <v>5</v>
      </c>
      <c r="AR23" s="2" t="s">
        <v>6</v>
      </c>
      <c r="AS23" s="2" t="s">
        <v>7</v>
      </c>
      <c r="AT23" s="2" t="s">
        <v>8</v>
      </c>
      <c r="AU23" s="2" t="s">
        <v>9</v>
      </c>
      <c r="AV23" s="2" t="s">
        <v>10</v>
      </c>
      <c r="AW23" s="2" t="s">
        <v>11</v>
      </c>
      <c r="AX23" s="2" t="s">
        <v>12</v>
      </c>
      <c r="AY23" s="2" t="s">
        <v>13</v>
      </c>
    </row>
    <row r="24" spans="2:51" x14ac:dyDescent="0.2">
      <c r="B24" s="44"/>
      <c r="C24" s="132" t="str">
        <f>C14</f>
        <v>Irr - Kik/Chic/Oats</v>
      </c>
      <c r="D24" s="126" t="s">
        <v>21</v>
      </c>
      <c r="E24" s="125">
        <v>45</v>
      </c>
      <c r="F24" s="125">
        <v>40</v>
      </c>
      <c r="G24" s="125">
        <v>30</v>
      </c>
      <c r="H24" s="125">
        <v>30</v>
      </c>
      <c r="I24" s="125">
        <v>30</v>
      </c>
      <c r="J24" s="125">
        <v>40</v>
      </c>
      <c r="K24" s="125">
        <v>50</v>
      </c>
      <c r="L24" s="125">
        <v>55</v>
      </c>
      <c r="M24" s="125">
        <v>55</v>
      </c>
      <c r="N24" s="125">
        <v>50</v>
      </c>
      <c r="O24" s="125">
        <v>50</v>
      </c>
      <c r="P24" s="125">
        <v>45</v>
      </c>
      <c r="Q24" s="634">
        <f t="shared" ref="Q24:Q30" si="3">(E24*$E$12+F24*$F$12+G24*$G$12+H24*$H$12+I24*$I$12+J24*$J$12+K24*$K$12+L24*$L$12+M24*$M$12+N24*$N$12+O24*$O$12+P24*$P$12)/1000</f>
        <v>15.81</v>
      </c>
      <c r="S24" s="46"/>
      <c r="U24" s="72" t="s">
        <v>70</v>
      </c>
      <c r="V24" s="68">
        <f>(($G$6+$G$8)*$G$7)*1</f>
        <v>9900</v>
      </c>
      <c r="W24" s="68" t="s">
        <v>105</v>
      </c>
      <c r="X24" s="69">
        <v>1.4999999999999999E-2</v>
      </c>
      <c r="Y24" s="69">
        <v>2.5000000000000001E-2</v>
      </c>
      <c r="Z24" s="69">
        <v>0.05</v>
      </c>
      <c r="AA24" s="69">
        <v>6.5000000000000002E-2</v>
      </c>
      <c r="AB24" s="69">
        <v>7.4999999999999997E-2</v>
      </c>
      <c r="AC24" s="69">
        <v>0.08</v>
      </c>
      <c r="AD24" s="69">
        <v>0.08</v>
      </c>
      <c r="AE24" s="69">
        <v>7.4999999999999997E-2</v>
      </c>
      <c r="AF24" s="69">
        <v>5.5E-2</v>
      </c>
      <c r="AG24" s="69">
        <v>0.03</v>
      </c>
      <c r="AH24" s="69">
        <v>0.02</v>
      </c>
      <c r="AI24" s="73">
        <v>1.4999999999999999E-2</v>
      </c>
      <c r="AJ24" s="23"/>
      <c r="AK24" s="87"/>
      <c r="AN24" s="125">
        <v>30</v>
      </c>
      <c r="AO24" s="125">
        <v>35</v>
      </c>
      <c r="AP24" s="125">
        <v>50</v>
      </c>
      <c r="AQ24" s="125">
        <v>65</v>
      </c>
      <c r="AR24" s="125">
        <v>65</v>
      </c>
      <c r="AS24" s="125">
        <v>60</v>
      </c>
      <c r="AT24" s="125">
        <v>60</v>
      </c>
      <c r="AU24" s="125">
        <v>55</v>
      </c>
      <c r="AV24" s="125">
        <v>50</v>
      </c>
      <c r="AW24" s="125">
        <v>50</v>
      </c>
      <c r="AX24" s="125">
        <v>40</v>
      </c>
      <c r="AY24" s="125">
        <v>35</v>
      </c>
    </row>
    <row r="25" spans="2:51" x14ac:dyDescent="0.2">
      <c r="B25" s="44"/>
      <c r="C25" s="132" t="str">
        <f>C15</f>
        <v>Dry - Kik/Chic/Oats</v>
      </c>
      <c r="D25" s="128" t="s">
        <v>21</v>
      </c>
      <c r="E25" s="127">
        <v>20</v>
      </c>
      <c r="F25" s="127">
        <v>5</v>
      </c>
      <c r="G25" s="127">
        <v>5</v>
      </c>
      <c r="H25" s="127">
        <v>20</v>
      </c>
      <c r="I25" s="127">
        <v>20</v>
      </c>
      <c r="J25" s="127">
        <v>25</v>
      </c>
      <c r="K25" s="127">
        <v>25</v>
      </c>
      <c r="L25" s="127">
        <v>30</v>
      </c>
      <c r="M25" s="127">
        <v>25</v>
      </c>
      <c r="N25" s="127">
        <v>15</v>
      </c>
      <c r="O25" s="127">
        <v>10</v>
      </c>
      <c r="P25" s="127">
        <v>5</v>
      </c>
      <c r="Q25" s="633">
        <f t="shared" si="3"/>
        <v>6.2649999999999997</v>
      </c>
      <c r="S25" s="46"/>
      <c r="U25" s="77"/>
      <c r="V25" s="78"/>
      <c r="W25" s="78" t="s">
        <v>106</v>
      </c>
      <c r="X25" s="79">
        <f t="shared" ref="X25:AI25" si="4">E24*E12</f>
        <v>1395</v>
      </c>
      <c r="Y25" s="79">
        <f t="shared" si="4"/>
        <v>1200</v>
      </c>
      <c r="Z25" s="79">
        <f t="shared" si="4"/>
        <v>930</v>
      </c>
      <c r="AA25" s="79">
        <f t="shared" si="4"/>
        <v>900</v>
      </c>
      <c r="AB25" s="79">
        <f t="shared" si="4"/>
        <v>930</v>
      </c>
      <c r="AC25" s="79">
        <f t="shared" si="4"/>
        <v>1240</v>
      </c>
      <c r="AD25" s="79">
        <f t="shared" si="4"/>
        <v>1500</v>
      </c>
      <c r="AE25" s="79">
        <f t="shared" si="4"/>
        <v>1705</v>
      </c>
      <c r="AF25" s="79">
        <f t="shared" si="4"/>
        <v>1650</v>
      </c>
      <c r="AG25" s="79">
        <f t="shared" si="4"/>
        <v>1550</v>
      </c>
      <c r="AH25" s="79">
        <f t="shared" si="4"/>
        <v>1550</v>
      </c>
      <c r="AI25" s="80">
        <f t="shared" si="4"/>
        <v>1260</v>
      </c>
      <c r="AJ25" s="88">
        <f>(SUM(X25:AI25))</f>
        <v>15810</v>
      </c>
      <c r="AK25" s="89">
        <f>AJ25*0.7</f>
        <v>11067</v>
      </c>
      <c r="AN25" s="127">
        <v>20</v>
      </c>
      <c r="AO25" s="127">
        <v>25</v>
      </c>
      <c r="AP25" s="127">
        <v>40</v>
      </c>
      <c r="AQ25" s="127">
        <v>60</v>
      </c>
      <c r="AR25" s="127">
        <v>60</v>
      </c>
      <c r="AS25" s="127">
        <v>55</v>
      </c>
      <c r="AT25" s="127">
        <v>55</v>
      </c>
      <c r="AU25" s="127">
        <v>50</v>
      </c>
      <c r="AV25" s="127">
        <v>45</v>
      </c>
      <c r="AW25" s="127">
        <v>40</v>
      </c>
      <c r="AX25" s="127">
        <v>35</v>
      </c>
      <c r="AY25" s="127">
        <v>30</v>
      </c>
    </row>
    <row r="26" spans="2:51" x14ac:dyDescent="0.2">
      <c r="B26" s="44"/>
      <c r="C26" s="132" t="str">
        <f>C16</f>
        <v>Dry - Kik</v>
      </c>
      <c r="D26" s="128" t="s">
        <v>21</v>
      </c>
      <c r="E26" s="127">
        <v>20</v>
      </c>
      <c r="F26" s="127">
        <v>10</v>
      </c>
      <c r="G26" s="127">
        <v>5</v>
      </c>
      <c r="H26" s="127">
        <v>5</v>
      </c>
      <c r="I26" s="127">
        <v>5</v>
      </c>
      <c r="J26" s="127">
        <v>10</v>
      </c>
      <c r="K26" s="127">
        <v>20</v>
      </c>
      <c r="L26" s="127">
        <v>25</v>
      </c>
      <c r="M26" s="127">
        <v>25</v>
      </c>
      <c r="N26" s="127">
        <v>15</v>
      </c>
      <c r="O26" s="127">
        <v>10</v>
      </c>
      <c r="P26" s="127">
        <v>5</v>
      </c>
      <c r="Q26" s="633">
        <f t="shared" si="3"/>
        <v>4.7300000000000004</v>
      </c>
      <c r="S26" s="46"/>
      <c r="U26" s="74" t="s">
        <v>71</v>
      </c>
      <c r="V26" s="70">
        <f>(($G$6*$G$7)*1)</f>
        <v>525</v>
      </c>
      <c r="W26" s="70" t="s">
        <v>105</v>
      </c>
      <c r="X26" s="71">
        <v>1.2999999999999999E-2</v>
      </c>
      <c r="Y26" s="71">
        <v>0.03</v>
      </c>
      <c r="Z26" s="71">
        <v>0.05</v>
      </c>
      <c r="AA26" s="71">
        <v>0.1</v>
      </c>
      <c r="AB26" s="71">
        <v>0.12</v>
      </c>
      <c r="AC26" s="71">
        <v>0.08</v>
      </c>
      <c r="AD26" s="71">
        <v>2.5999999999999999E-2</v>
      </c>
      <c r="AE26" s="71">
        <v>8.9999999999999993E-3</v>
      </c>
      <c r="AF26" s="71">
        <v>1.2999999999999999E-2</v>
      </c>
      <c r="AG26" s="71">
        <v>1.2999999999999999E-2</v>
      </c>
      <c r="AH26" s="71">
        <v>0.02</v>
      </c>
      <c r="AI26" s="75">
        <v>8.9999999999999993E-3</v>
      </c>
      <c r="AJ26" s="90"/>
      <c r="AK26" s="89"/>
      <c r="AN26" s="127">
        <v>15</v>
      </c>
      <c r="AO26" s="127">
        <v>20</v>
      </c>
      <c r="AP26" s="127">
        <v>20</v>
      </c>
      <c r="AQ26" s="127">
        <v>50</v>
      </c>
      <c r="AR26" s="127">
        <v>50</v>
      </c>
      <c r="AS26" s="127">
        <v>45</v>
      </c>
      <c r="AT26" s="127">
        <v>40</v>
      </c>
      <c r="AU26" s="127">
        <v>40</v>
      </c>
      <c r="AV26" s="127">
        <v>40</v>
      </c>
      <c r="AW26" s="127">
        <v>35</v>
      </c>
      <c r="AX26" s="127">
        <v>30</v>
      </c>
      <c r="AY26" s="127">
        <v>25</v>
      </c>
    </row>
    <row r="27" spans="2:51" x14ac:dyDescent="0.2">
      <c r="B27" s="44"/>
      <c r="C27" s="132">
        <f>C17</f>
        <v>0</v>
      </c>
      <c r="D27" s="128" t="s">
        <v>21</v>
      </c>
      <c r="E27" s="127">
        <v>20</v>
      </c>
      <c r="F27" s="127">
        <v>5</v>
      </c>
      <c r="G27" s="127">
        <v>5</v>
      </c>
      <c r="H27" s="127">
        <v>20</v>
      </c>
      <c r="I27" s="127">
        <v>20</v>
      </c>
      <c r="J27" s="127">
        <v>25</v>
      </c>
      <c r="K27" s="127">
        <v>25</v>
      </c>
      <c r="L27" s="127">
        <v>30</v>
      </c>
      <c r="M27" s="127">
        <v>25</v>
      </c>
      <c r="N27" s="127">
        <v>15</v>
      </c>
      <c r="O27" s="127">
        <v>10</v>
      </c>
      <c r="P27" s="127">
        <v>5</v>
      </c>
      <c r="Q27" s="633">
        <f t="shared" si="3"/>
        <v>6.2649999999999997</v>
      </c>
      <c r="S27" s="46"/>
      <c r="U27" s="77"/>
      <c r="V27" s="78"/>
      <c r="W27" s="78" t="s">
        <v>106</v>
      </c>
      <c r="X27" s="79">
        <f t="shared" ref="X27:AI27" si="5">E25*E12</f>
        <v>620</v>
      </c>
      <c r="Y27" s="79">
        <f t="shared" si="5"/>
        <v>150</v>
      </c>
      <c r="Z27" s="79">
        <f t="shared" si="5"/>
        <v>155</v>
      </c>
      <c r="AA27" s="79">
        <f t="shared" si="5"/>
        <v>600</v>
      </c>
      <c r="AB27" s="79">
        <f t="shared" si="5"/>
        <v>620</v>
      </c>
      <c r="AC27" s="79">
        <f t="shared" si="5"/>
        <v>775</v>
      </c>
      <c r="AD27" s="79">
        <f t="shared" si="5"/>
        <v>750</v>
      </c>
      <c r="AE27" s="79">
        <f t="shared" si="5"/>
        <v>930</v>
      </c>
      <c r="AF27" s="79">
        <f t="shared" si="5"/>
        <v>750</v>
      </c>
      <c r="AG27" s="79">
        <f t="shared" si="5"/>
        <v>465</v>
      </c>
      <c r="AH27" s="79">
        <f t="shared" si="5"/>
        <v>310</v>
      </c>
      <c r="AI27" s="80">
        <f t="shared" si="5"/>
        <v>140</v>
      </c>
      <c r="AJ27" s="88">
        <f>(SUM(X27:AI27))</f>
        <v>6265</v>
      </c>
      <c r="AK27" s="89">
        <f>AJ27*0.7</f>
        <v>4385.5</v>
      </c>
    </row>
    <row r="28" spans="2:51" x14ac:dyDescent="0.2">
      <c r="B28" s="44"/>
      <c r="C28" s="132">
        <f>C18</f>
        <v>0</v>
      </c>
      <c r="D28" s="128" t="s">
        <v>21</v>
      </c>
      <c r="E28" s="127">
        <v>10</v>
      </c>
      <c r="F28" s="127">
        <v>10</v>
      </c>
      <c r="G28" s="127">
        <v>5</v>
      </c>
      <c r="H28" s="127">
        <v>2</v>
      </c>
      <c r="I28" s="127">
        <v>2</v>
      </c>
      <c r="J28" s="127">
        <v>5</v>
      </c>
      <c r="K28" s="127">
        <v>15</v>
      </c>
      <c r="L28" s="127">
        <v>25</v>
      </c>
      <c r="M28" s="127">
        <v>25</v>
      </c>
      <c r="N28" s="127">
        <v>15</v>
      </c>
      <c r="O28" s="127">
        <v>10</v>
      </c>
      <c r="P28" s="127">
        <v>5</v>
      </c>
      <c r="Q28" s="633">
        <f t="shared" si="3"/>
        <v>3.9319999999999999</v>
      </c>
      <c r="S28" s="46"/>
      <c r="U28" s="76" t="s">
        <v>72</v>
      </c>
      <c r="V28" s="70">
        <f>((($G$6*$G$7)*1))*0.6</f>
        <v>315</v>
      </c>
      <c r="W28" s="70" t="s">
        <v>105</v>
      </c>
      <c r="X28" s="71">
        <v>8.0000000000000002E-3</v>
      </c>
      <c r="Y28" s="71">
        <v>3.2000000000000001E-2</v>
      </c>
      <c r="Z28" s="71">
        <v>7.0000000000000007E-2</v>
      </c>
      <c r="AA28" s="71">
        <v>0.1</v>
      </c>
      <c r="AB28" s="71">
        <v>0.14000000000000001</v>
      </c>
      <c r="AC28" s="71">
        <v>0.05</v>
      </c>
      <c r="AD28" s="71">
        <v>1.2999999999999999E-2</v>
      </c>
      <c r="AE28" s="71">
        <v>1.2999999999999999E-2</v>
      </c>
      <c r="AF28" s="71">
        <v>1.2999999999999999E-2</v>
      </c>
      <c r="AG28" s="71">
        <v>2.1999999999999999E-2</v>
      </c>
      <c r="AH28" s="71">
        <v>2.1999999999999999E-2</v>
      </c>
      <c r="AI28" s="75">
        <v>1.2999999999999999E-2</v>
      </c>
      <c r="AJ28" s="90"/>
      <c r="AK28" s="89"/>
    </row>
    <row r="29" spans="2:51" x14ac:dyDescent="0.2">
      <c r="B29" s="44"/>
      <c r="C29" s="132">
        <f t="shared" ref="C29:C30" si="6">C19</f>
        <v>0</v>
      </c>
      <c r="D29" s="128" t="s">
        <v>21</v>
      </c>
      <c r="E29" s="127"/>
      <c r="F29" s="127"/>
      <c r="G29" s="127"/>
      <c r="H29" s="127"/>
      <c r="I29" s="127"/>
      <c r="J29" s="127"/>
      <c r="K29" s="127"/>
      <c r="L29" s="127"/>
      <c r="M29" s="127"/>
      <c r="N29" s="127"/>
      <c r="O29" s="127"/>
      <c r="P29" s="127"/>
      <c r="Q29" s="633">
        <f t="shared" si="3"/>
        <v>0</v>
      </c>
      <c r="S29" s="46"/>
      <c r="U29" s="42"/>
      <c r="V29" s="81"/>
      <c r="W29" s="78" t="s">
        <v>106</v>
      </c>
      <c r="X29" s="79">
        <f t="shared" ref="X29:AI29" si="7">E26*E12</f>
        <v>620</v>
      </c>
      <c r="Y29" s="79">
        <f t="shared" si="7"/>
        <v>300</v>
      </c>
      <c r="Z29" s="79">
        <f t="shared" si="7"/>
        <v>155</v>
      </c>
      <c r="AA29" s="79">
        <f t="shared" si="7"/>
        <v>150</v>
      </c>
      <c r="AB29" s="79">
        <f t="shared" si="7"/>
        <v>155</v>
      </c>
      <c r="AC29" s="79">
        <f t="shared" si="7"/>
        <v>310</v>
      </c>
      <c r="AD29" s="79">
        <f t="shared" si="7"/>
        <v>600</v>
      </c>
      <c r="AE29" s="79">
        <f t="shared" si="7"/>
        <v>775</v>
      </c>
      <c r="AF29" s="79">
        <f t="shared" si="7"/>
        <v>750</v>
      </c>
      <c r="AG29" s="79">
        <f t="shared" si="7"/>
        <v>465</v>
      </c>
      <c r="AH29" s="79">
        <f t="shared" si="7"/>
        <v>310</v>
      </c>
      <c r="AI29" s="80">
        <f t="shared" si="7"/>
        <v>140</v>
      </c>
      <c r="AJ29" s="88">
        <f>(SUM(X29:AI29))</f>
        <v>4730</v>
      </c>
      <c r="AK29" s="89">
        <f>AJ29*0.7</f>
        <v>3311</v>
      </c>
    </row>
    <row r="30" spans="2:51" x14ac:dyDescent="0.2">
      <c r="B30" s="44"/>
      <c r="C30" s="132">
        <f t="shared" si="6"/>
        <v>0</v>
      </c>
      <c r="D30" s="128" t="s">
        <v>21</v>
      </c>
      <c r="E30" s="127"/>
      <c r="F30" s="127"/>
      <c r="G30" s="127"/>
      <c r="H30" s="127"/>
      <c r="I30" s="127"/>
      <c r="J30" s="127"/>
      <c r="K30" s="127"/>
      <c r="L30" s="127"/>
      <c r="M30" s="127"/>
      <c r="N30" s="127"/>
      <c r="O30" s="127"/>
      <c r="P30" s="127"/>
      <c r="Q30" s="633">
        <f t="shared" si="3"/>
        <v>0</v>
      </c>
      <c r="S30" s="46"/>
      <c r="U30" s="76" t="s">
        <v>73</v>
      </c>
      <c r="V30" s="70">
        <f>((($G$6*$G$7)*1))*0.3</f>
        <v>157.5</v>
      </c>
      <c r="W30" s="70" t="s">
        <v>105</v>
      </c>
      <c r="X30" s="71">
        <v>0</v>
      </c>
      <c r="Y30" s="71">
        <v>0.01</v>
      </c>
      <c r="Z30" s="71">
        <v>2.1999999999999999E-2</v>
      </c>
      <c r="AA30" s="71">
        <v>0.05</v>
      </c>
      <c r="AB30" s="71">
        <v>0.12</v>
      </c>
      <c r="AC30" s="71">
        <v>2.1999999999999999E-2</v>
      </c>
      <c r="AD30" s="71">
        <v>2.1999999999999999E-2</v>
      </c>
      <c r="AE30" s="71">
        <v>2.1999999999999999E-2</v>
      </c>
      <c r="AF30" s="71">
        <v>2.1999999999999999E-2</v>
      </c>
      <c r="AG30" s="71">
        <v>0.05</v>
      </c>
      <c r="AH30" s="71">
        <v>0.05</v>
      </c>
      <c r="AI30" s="75">
        <v>0.01</v>
      </c>
      <c r="AJ30" s="90"/>
      <c r="AK30" s="89"/>
    </row>
    <row r="31" spans="2:51" x14ac:dyDescent="0.2">
      <c r="B31" s="44"/>
      <c r="C31" s="523"/>
      <c r="D31" s="524"/>
      <c r="E31" s="523"/>
      <c r="F31" s="523"/>
      <c r="G31" s="523"/>
      <c r="H31" s="523"/>
      <c r="I31" s="523"/>
      <c r="J31" s="523"/>
      <c r="K31" s="523"/>
      <c r="L31" s="523"/>
      <c r="M31" s="523"/>
      <c r="N31" s="523"/>
      <c r="O31" s="523"/>
      <c r="P31" s="523"/>
      <c r="Q31" s="525"/>
      <c r="S31" s="48"/>
      <c r="U31" s="76" t="s">
        <v>68</v>
      </c>
      <c r="V31" s="70">
        <f>($G$6*3)</f>
        <v>2100</v>
      </c>
      <c r="W31" s="70" t="s">
        <v>105</v>
      </c>
      <c r="X31" s="71">
        <v>0.01</v>
      </c>
      <c r="Y31" s="71">
        <v>1.2999999999999999E-2</v>
      </c>
      <c r="Z31" s="71">
        <v>2.8000000000000001E-2</v>
      </c>
      <c r="AA31" s="71">
        <v>4.4999999999999998E-2</v>
      </c>
      <c r="AB31" s="71">
        <v>0.06</v>
      </c>
      <c r="AC31" s="71">
        <v>0.06</v>
      </c>
      <c r="AD31" s="71">
        <v>0.03</v>
      </c>
      <c r="AE31" s="71">
        <v>0.02</v>
      </c>
      <c r="AF31" s="71">
        <v>0.02</v>
      </c>
      <c r="AG31" s="71">
        <v>0.03</v>
      </c>
      <c r="AH31" s="71">
        <v>0.02</v>
      </c>
      <c r="AI31" s="75">
        <v>0.01</v>
      </c>
      <c r="AJ31" s="90"/>
      <c r="AK31" s="89"/>
    </row>
    <row r="32" spans="2:51" x14ac:dyDescent="0.2">
      <c r="B32" s="49"/>
      <c r="C32" s="134" t="s">
        <v>20</v>
      </c>
      <c r="D32" s="130" t="s">
        <v>21</v>
      </c>
      <c r="E32" s="129" t="e">
        <f>(E14*E24+E15*E25+E16*E26+E17*E27+E18*E28+E19*E29+E20*E30)/E21</f>
        <v>#DIV/0!</v>
      </c>
      <c r="F32" s="129" t="e">
        <f t="shared" ref="F32:Q32" si="8">(F14*F24+F15*F25+F16*F26+F17*F27+F18*F28+F19*F29+F20*F30)/F21</f>
        <v>#DIV/0!</v>
      </c>
      <c r="G32" s="129" t="e">
        <f t="shared" si="8"/>
        <v>#DIV/0!</v>
      </c>
      <c r="H32" s="129" t="e">
        <f t="shared" si="8"/>
        <v>#DIV/0!</v>
      </c>
      <c r="I32" s="129" t="e">
        <f t="shared" si="8"/>
        <v>#DIV/0!</v>
      </c>
      <c r="J32" s="129" t="e">
        <f t="shared" si="8"/>
        <v>#DIV/0!</v>
      </c>
      <c r="K32" s="129" t="e">
        <f t="shared" si="8"/>
        <v>#DIV/0!</v>
      </c>
      <c r="L32" s="129" t="e">
        <f t="shared" si="8"/>
        <v>#DIV/0!</v>
      </c>
      <c r="M32" s="129" t="e">
        <f t="shared" si="8"/>
        <v>#DIV/0!</v>
      </c>
      <c r="N32" s="129" t="e">
        <f t="shared" si="8"/>
        <v>#DIV/0!</v>
      </c>
      <c r="O32" s="129" t="e">
        <f t="shared" si="8"/>
        <v>#DIV/0!</v>
      </c>
      <c r="P32" s="129" t="e">
        <f t="shared" si="8"/>
        <v>#DIV/0!</v>
      </c>
      <c r="Q32" s="131" t="e">
        <f t="shared" si="8"/>
        <v>#DIV/0!</v>
      </c>
      <c r="S32" s="46"/>
      <c r="U32" s="82"/>
      <c r="V32" s="83"/>
      <c r="W32" s="83" t="s">
        <v>106</v>
      </c>
      <c r="X32" s="84" t="e">
        <f>#REF!*E12</f>
        <v>#REF!</v>
      </c>
      <c r="Y32" s="84" t="e">
        <f>#REF!*F12</f>
        <v>#REF!</v>
      </c>
      <c r="Z32" s="84" t="e">
        <f>#REF!*G12</f>
        <v>#REF!</v>
      </c>
      <c r="AA32" s="84" t="e">
        <f>#REF!*H12</f>
        <v>#REF!</v>
      </c>
      <c r="AB32" s="84" t="e">
        <f>#REF!*I12</f>
        <v>#REF!</v>
      </c>
      <c r="AC32" s="84" t="e">
        <f>#REF!*J12</f>
        <v>#REF!</v>
      </c>
      <c r="AD32" s="84" t="e">
        <f>#REF!*K12</f>
        <v>#REF!</v>
      </c>
      <c r="AE32" s="84" t="e">
        <f>#REF!*L12</f>
        <v>#REF!</v>
      </c>
      <c r="AF32" s="84" t="e">
        <f>#REF!*M12</f>
        <v>#REF!</v>
      </c>
      <c r="AG32" s="84" t="e">
        <f>#REF!*N12</f>
        <v>#REF!</v>
      </c>
      <c r="AH32" s="84" t="e">
        <f>#REF!*O12</f>
        <v>#REF!</v>
      </c>
      <c r="AI32" s="85" t="e">
        <f>#REF!*P12</f>
        <v>#REF!</v>
      </c>
      <c r="AJ32" s="91" t="e">
        <f>(SUM(X32:AI32))</f>
        <v>#REF!</v>
      </c>
      <c r="AK32" s="92" t="e">
        <f>AJ32*0.7</f>
        <v>#REF!</v>
      </c>
    </row>
    <row r="33" spans="2:20" x14ac:dyDescent="0.2">
      <c r="B33" s="51" t="s">
        <v>69</v>
      </c>
      <c r="C33" s="52"/>
      <c r="D33" s="53"/>
      <c r="E33" s="52"/>
      <c r="F33" s="52"/>
      <c r="G33" s="52"/>
      <c r="H33" s="52"/>
      <c r="I33" s="52"/>
      <c r="J33" s="52"/>
      <c r="K33" s="52"/>
      <c r="L33" s="52"/>
      <c r="M33" s="52"/>
      <c r="N33" s="52"/>
      <c r="O33" s="52"/>
      <c r="P33" s="52"/>
      <c r="Q33" s="241" t="s">
        <v>26</v>
      </c>
      <c r="S33" s="46"/>
    </row>
    <row r="34" spans="2:20" x14ac:dyDescent="0.2">
      <c r="B34" s="44"/>
      <c r="C34" s="132" t="str">
        <f t="shared" ref="C34:C40" si="9">C24</f>
        <v>Irr - Kik/Chic/Oats</v>
      </c>
      <c r="D34" s="126" t="s">
        <v>21</v>
      </c>
      <c r="E34" s="288"/>
      <c r="F34" s="288"/>
      <c r="G34" s="288"/>
      <c r="H34" s="288"/>
      <c r="I34" s="288"/>
      <c r="J34" s="288"/>
      <c r="K34" s="288"/>
      <c r="L34" s="288"/>
      <c r="M34" s="288"/>
      <c r="N34" s="288"/>
      <c r="O34" s="288"/>
      <c r="P34" s="288"/>
      <c r="Q34" s="634">
        <f>(E34*$E$12+F34*$F$12+G34*$G$12+H34*$H$12+I34*$I$12+J34*$J$12+K34*$K$12+L34*$L$12+M34*$M$12+N34*$N$12+O34*$O$12+P34*$P$12)/1000</f>
        <v>0</v>
      </c>
      <c r="S34" s="46"/>
    </row>
    <row r="35" spans="2:20" x14ac:dyDescent="0.2">
      <c r="B35" s="44"/>
      <c r="C35" s="132" t="str">
        <f t="shared" si="9"/>
        <v>Dry - Kik/Chic/Oats</v>
      </c>
      <c r="D35" s="128" t="s">
        <v>21</v>
      </c>
      <c r="E35" s="289"/>
      <c r="F35" s="289"/>
      <c r="G35" s="289"/>
      <c r="H35" s="289"/>
      <c r="I35" s="289"/>
      <c r="J35" s="289"/>
      <c r="K35" s="289"/>
      <c r="L35" s="289"/>
      <c r="M35" s="289"/>
      <c r="N35" s="289"/>
      <c r="O35" s="289"/>
      <c r="P35" s="289"/>
      <c r="Q35" s="633">
        <f t="shared" ref="Q35:Q40" si="10">(E35*$E$12+F35*$F$12+G35*$G$12+H35*$H$12+I35*$I$12+J35*$J$12+K35*$K$12+L35*$L$12+M35*$M$12+N35*$N$12+O35*$O$12+P35*$P$12)/1000</f>
        <v>0</v>
      </c>
      <c r="S35" s="46"/>
    </row>
    <row r="36" spans="2:20" x14ac:dyDescent="0.2">
      <c r="B36" s="44"/>
      <c r="C36" s="132" t="str">
        <f t="shared" si="9"/>
        <v>Dry - Kik</v>
      </c>
      <c r="D36" s="128" t="s">
        <v>21</v>
      </c>
      <c r="E36" s="289"/>
      <c r="F36" s="289"/>
      <c r="G36" s="289"/>
      <c r="H36" s="289"/>
      <c r="I36" s="289"/>
      <c r="J36" s="289"/>
      <c r="K36" s="289"/>
      <c r="L36" s="289"/>
      <c r="M36" s="289"/>
      <c r="N36" s="289"/>
      <c r="O36" s="289"/>
      <c r="P36" s="289"/>
      <c r="Q36" s="633">
        <f t="shared" si="10"/>
        <v>0</v>
      </c>
      <c r="S36" s="46"/>
    </row>
    <row r="37" spans="2:20" x14ac:dyDescent="0.2">
      <c r="B37" s="44"/>
      <c r="C37" s="132">
        <f t="shared" si="9"/>
        <v>0</v>
      </c>
      <c r="D37" s="128" t="s">
        <v>21</v>
      </c>
      <c r="E37" s="289"/>
      <c r="F37" s="289"/>
      <c r="G37" s="289"/>
      <c r="H37" s="289"/>
      <c r="I37" s="289"/>
      <c r="J37" s="289"/>
      <c r="K37" s="289"/>
      <c r="L37" s="289"/>
      <c r="M37" s="289"/>
      <c r="N37" s="289"/>
      <c r="O37" s="289"/>
      <c r="P37" s="289"/>
      <c r="Q37" s="633">
        <f t="shared" si="10"/>
        <v>0</v>
      </c>
      <c r="S37" s="46"/>
    </row>
    <row r="38" spans="2:20" x14ac:dyDescent="0.2">
      <c r="B38" s="44"/>
      <c r="C38" s="132">
        <f t="shared" si="9"/>
        <v>0</v>
      </c>
      <c r="D38" s="128" t="s">
        <v>21</v>
      </c>
      <c r="E38" s="289"/>
      <c r="F38" s="289"/>
      <c r="G38" s="289"/>
      <c r="H38" s="289"/>
      <c r="I38" s="289"/>
      <c r="J38" s="289"/>
      <c r="K38" s="289"/>
      <c r="L38" s="289"/>
      <c r="M38" s="289"/>
      <c r="N38" s="289"/>
      <c r="O38" s="289"/>
      <c r="P38" s="289"/>
      <c r="Q38" s="633">
        <f t="shared" si="10"/>
        <v>0</v>
      </c>
      <c r="S38" s="46"/>
    </row>
    <row r="39" spans="2:20" x14ac:dyDescent="0.2">
      <c r="B39" s="44"/>
      <c r="C39" s="132">
        <f t="shared" si="9"/>
        <v>0</v>
      </c>
      <c r="D39" s="128" t="s">
        <v>21</v>
      </c>
      <c r="E39" s="289"/>
      <c r="F39" s="289"/>
      <c r="G39" s="289"/>
      <c r="H39" s="289"/>
      <c r="I39" s="289"/>
      <c r="J39" s="289"/>
      <c r="K39" s="289"/>
      <c r="L39" s="289"/>
      <c r="M39" s="289"/>
      <c r="N39" s="289"/>
      <c r="O39" s="289"/>
      <c r="P39" s="289"/>
      <c r="Q39" s="633">
        <f t="shared" si="10"/>
        <v>0</v>
      </c>
      <c r="S39" s="46"/>
    </row>
    <row r="40" spans="2:20" x14ac:dyDescent="0.2">
      <c r="B40" s="44"/>
      <c r="C40" s="132">
        <f t="shared" si="9"/>
        <v>0</v>
      </c>
      <c r="D40" s="128" t="s">
        <v>21</v>
      </c>
      <c r="E40" s="289"/>
      <c r="F40" s="289"/>
      <c r="G40" s="289"/>
      <c r="H40" s="289"/>
      <c r="I40" s="289"/>
      <c r="J40" s="289"/>
      <c r="K40" s="289"/>
      <c r="L40" s="289"/>
      <c r="M40" s="289"/>
      <c r="N40" s="289"/>
      <c r="O40" s="289"/>
      <c r="P40" s="289"/>
      <c r="Q40" s="633">
        <f t="shared" si="10"/>
        <v>0</v>
      </c>
      <c r="S40" s="46"/>
    </row>
    <row r="41" spans="2:20" x14ac:dyDescent="0.2">
      <c r="B41" s="44"/>
      <c r="C41" s="523"/>
      <c r="D41" s="524"/>
      <c r="E41" s="523"/>
      <c r="F41" s="523"/>
      <c r="G41" s="523"/>
      <c r="H41" s="523"/>
      <c r="I41" s="523"/>
      <c r="J41" s="523"/>
      <c r="K41" s="523"/>
      <c r="L41" s="523"/>
      <c r="M41" s="523"/>
      <c r="N41" s="523"/>
      <c r="O41" s="523"/>
      <c r="P41" s="523"/>
      <c r="Q41" s="525"/>
      <c r="S41" s="46"/>
      <c r="T41" s="12"/>
    </row>
    <row r="42" spans="2:20" x14ac:dyDescent="0.2">
      <c r="B42" s="49"/>
      <c r="C42" s="134" t="s">
        <v>20</v>
      </c>
      <c r="D42" s="130" t="s">
        <v>21</v>
      </c>
      <c r="E42" s="129" t="e">
        <f>(E14*E34+E15*E35+E16*E36+E17*E37+E18*E38+E19*E39+E20*E40)/E21</f>
        <v>#DIV/0!</v>
      </c>
      <c r="F42" s="129" t="e">
        <f t="shared" ref="F42:Q42" si="11">(F14*F34+F15*F35+F16*F36+F17*F37+F18*F38+F19*F39+F20*F40)/F21</f>
        <v>#DIV/0!</v>
      </c>
      <c r="G42" s="129" t="e">
        <f t="shared" si="11"/>
        <v>#DIV/0!</v>
      </c>
      <c r="H42" s="129" t="e">
        <f t="shared" si="11"/>
        <v>#DIV/0!</v>
      </c>
      <c r="I42" s="129" t="e">
        <f t="shared" si="11"/>
        <v>#DIV/0!</v>
      </c>
      <c r="J42" s="129" t="e">
        <f t="shared" si="11"/>
        <v>#DIV/0!</v>
      </c>
      <c r="K42" s="129" t="e">
        <f t="shared" si="11"/>
        <v>#DIV/0!</v>
      </c>
      <c r="L42" s="129" t="e">
        <f t="shared" si="11"/>
        <v>#DIV/0!</v>
      </c>
      <c r="M42" s="129" t="e">
        <f t="shared" si="11"/>
        <v>#DIV/0!</v>
      </c>
      <c r="N42" s="129" t="e">
        <f t="shared" si="11"/>
        <v>#DIV/0!</v>
      </c>
      <c r="O42" s="129" t="e">
        <f t="shared" si="11"/>
        <v>#DIV/0!</v>
      </c>
      <c r="P42" s="129" t="e">
        <f t="shared" si="11"/>
        <v>#DIV/0!</v>
      </c>
      <c r="Q42" s="135" t="e">
        <f t="shared" si="11"/>
        <v>#DIV/0!</v>
      </c>
      <c r="S42" s="46"/>
      <c r="T42" s="12"/>
    </row>
    <row r="43" spans="2:20" x14ac:dyDescent="0.2">
      <c r="B43" s="40" t="s">
        <v>28</v>
      </c>
      <c r="C43" s="41"/>
      <c r="D43" s="45" t="s">
        <v>35</v>
      </c>
      <c r="E43" s="41"/>
      <c r="F43" s="41"/>
      <c r="G43" s="41"/>
      <c r="H43" s="41"/>
      <c r="I43" s="41"/>
      <c r="J43" s="41"/>
      <c r="K43" s="41"/>
      <c r="L43" s="41"/>
      <c r="M43" s="41"/>
      <c r="N43" s="41"/>
      <c r="O43" s="41"/>
      <c r="P43" s="41"/>
      <c r="Q43" s="54"/>
      <c r="T43" s="12"/>
    </row>
    <row r="44" spans="2:20" x14ac:dyDescent="0.2">
      <c r="B44" s="44"/>
      <c r="C44" s="132" t="str">
        <f t="shared" ref="C44:C50" si="12">C34</f>
        <v>Irr - Kik/Chic/Oats</v>
      </c>
      <c r="D44" s="126" t="s">
        <v>23</v>
      </c>
      <c r="E44" s="125">
        <f t="shared" ref="E44:P44" si="13">IF(E34&gt;0,E34,E24)*E14*E$12</f>
        <v>0</v>
      </c>
      <c r="F44" s="125">
        <f t="shared" si="13"/>
        <v>0</v>
      </c>
      <c r="G44" s="125">
        <f t="shared" si="13"/>
        <v>0</v>
      </c>
      <c r="H44" s="125">
        <f t="shared" si="13"/>
        <v>0</v>
      </c>
      <c r="I44" s="125">
        <f t="shared" si="13"/>
        <v>0</v>
      </c>
      <c r="J44" s="125">
        <f t="shared" si="13"/>
        <v>0</v>
      </c>
      <c r="K44" s="125">
        <f t="shared" si="13"/>
        <v>0</v>
      </c>
      <c r="L44" s="125">
        <f t="shared" si="13"/>
        <v>0</v>
      </c>
      <c r="M44" s="125">
        <f t="shared" si="13"/>
        <v>0</v>
      </c>
      <c r="N44" s="125">
        <f t="shared" si="13"/>
        <v>0</v>
      </c>
      <c r="O44" s="125">
        <f t="shared" si="13"/>
        <v>0</v>
      </c>
      <c r="P44" s="125">
        <f t="shared" si="13"/>
        <v>0</v>
      </c>
      <c r="Q44" s="136">
        <f>SUM(E44:P44)</f>
        <v>0</v>
      </c>
      <c r="T44" s="12"/>
    </row>
    <row r="45" spans="2:20" x14ac:dyDescent="0.2">
      <c r="B45" s="44"/>
      <c r="C45" s="132" t="str">
        <f t="shared" si="12"/>
        <v>Dry - Kik/Chic/Oats</v>
      </c>
      <c r="D45" s="128" t="s">
        <v>23</v>
      </c>
      <c r="E45" s="127">
        <f t="shared" ref="E45:P45" si="14">IF(E35&gt;0,E35,E25)*E15*E$12</f>
        <v>0</v>
      </c>
      <c r="F45" s="127">
        <f t="shared" si="14"/>
        <v>0</v>
      </c>
      <c r="G45" s="127">
        <f t="shared" si="14"/>
        <v>0</v>
      </c>
      <c r="H45" s="127">
        <f t="shared" si="14"/>
        <v>0</v>
      </c>
      <c r="I45" s="127">
        <f t="shared" si="14"/>
        <v>0</v>
      </c>
      <c r="J45" s="127">
        <f t="shared" si="14"/>
        <v>0</v>
      </c>
      <c r="K45" s="127">
        <f t="shared" si="14"/>
        <v>0</v>
      </c>
      <c r="L45" s="127">
        <f t="shared" si="14"/>
        <v>0</v>
      </c>
      <c r="M45" s="127">
        <f t="shared" si="14"/>
        <v>0</v>
      </c>
      <c r="N45" s="127">
        <f t="shared" si="14"/>
        <v>0</v>
      </c>
      <c r="O45" s="127">
        <f t="shared" si="14"/>
        <v>0</v>
      </c>
      <c r="P45" s="127">
        <f t="shared" si="14"/>
        <v>0</v>
      </c>
      <c r="Q45" s="137">
        <f>SUM(E45:P45)</f>
        <v>0</v>
      </c>
      <c r="T45" s="12"/>
    </row>
    <row r="46" spans="2:20" x14ac:dyDescent="0.2">
      <c r="B46" s="44"/>
      <c r="C46" s="132" t="str">
        <f t="shared" si="12"/>
        <v>Dry - Kik</v>
      </c>
      <c r="D46" s="128" t="s">
        <v>23</v>
      </c>
      <c r="E46" s="127">
        <f t="shared" ref="E46:P46" si="15">IF(E36&gt;0,E36,E26)*E16*E$12</f>
        <v>0</v>
      </c>
      <c r="F46" s="127">
        <f t="shared" si="15"/>
        <v>0</v>
      </c>
      <c r="G46" s="127">
        <f t="shared" si="15"/>
        <v>0</v>
      </c>
      <c r="H46" s="127">
        <f t="shared" si="15"/>
        <v>0</v>
      </c>
      <c r="I46" s="127">
        <f t="shared" si="15"/>
        <v>0</v>
      </c>
      <c r="J46" s="127">
        <f t="shared" si="15"/>
        <v>0</v>
      </c>
      <c r="K46" s="127">
        <f t="shared" si="15"/>
        <v>0</v>
      </c>
      <c r="L46" s="127">
        <f t="shared" si="15"/>
        <v>0</v>
      </c>
      <c r="M46" s="127">
        <f t="shared" si="15"/>
        <v>0</v>
      </c>
      <c r="N46" s="127">
        <f t="shared" si="15"/>
        <v>0</v>
      </c>
      <c r="O46" s="127">
        <f t="shared" si="15"/>
        <v>0</v>
      </c>
      <c r="P46" s="127">
        <f t="shared" si="15"/>
        <v>0</v>
      </c>
      <c r="Q46" s="137">
        <f>SUM(E46:P46)</f>
        <v>0</v>
      </c>
      <c r="T46" s="12"/>
    </row>
    <row r="47" spans="2:20" x14ac:dyDescent="0.2">
      <c r="B47" s="44"/>
      <c r="C47" s="132">
        <f t="shared" si="12"/>
        <v>0</v>
      </c>
      <c r="D47" s="128" t="s">
        <v>23</v>
      </c>
      <c r="E47" s="127">
        <f t="shared" ref="E47:P47" si="16">IF(E37&gt;0,E37,E27)*E17*E$12</f>
        <v>0</v>
      </c>
      <c r="F47" s="127">
        <f t="shared" si="16"/>
        <v>0</v>
      </c>
      <c r="G47" s="127">
        <f t="shared" si="16"/>
        <v>0</v>
      </c>
      <c r="H47" s="127">
        <f t="shared" si="16"/>
        <v>0</v>
      </c>
      <c r="I47" s="127">
        <f t="shared" si="16"/>
        <v>0</v>
      </c>
      <c r="J47" s="127">
        <f t="shared" si="16"/>
        <v>0</v>
      </c>
      <c r="K47" s="127">
        <f t="shared" si="16"/>
        <v>0</v>
      </c>
      <c r="L47" s="127">
        <f t="shared" si="16"/>
        <v>0</v>
      </c>
      <c r="M47" s="127">
        <f t="shared" si="16"/>
        <v>0</v>
      </c>
      <c r="N47" s="127">
        <f t="shared" si="16"/>
        <v>0</v>
      </c>
      <c r="O47" s="127">
        <f t="shared" si="16"/>
        <v>0</v>
      </c>
      <c r="P47" s="127">
        <f t="shared" si="16"/>
        <v>0</v>
      </c>
      <c r="Q47" s="137">
        <f t="shared" ref="Q47:Q50" si="17">SUM(E47:P47)</f>
        <v>0</v>
      </c>
      <c r="T47" s="12"/>
    </row>
    <row r="48" spans="2:20" x14ac:dyDescent="0.2">
      <c r="B48" s="44"/>
      <c r="C48" s="132">
        <f t="shared" si="12"/>
        <v>0</v>
      </c>
      <c r="D48" s="128" t="s">
        <v>23</v>
      </c>
      <c r="E48" s="127">
        <f t="shared" ref="E48:P48" si="18">IF(E38&gt;0,E38,E28)*E18*E$12</f>
        <v>0</v>
      </c>
      <c r="F48" s="127">
        <f t="shared" si="18"/>
        <v>0</v>
      </c>
      <c r="G48" s="127">
        <f t="shared" si="18"/>
        <v>0</v>
      </c>
      <c r="H48" s="127">
        <f t="shared" si="18"/>
        <v>0</v>
      </c>
      <c r="I48" s="127">
        <f t="shared" si="18"/>
        <v>0</v>
      </c>
      <c r="J48" s="127">
        <f t="shared" si="18"/>
        <v>0</v>
      </c>
      <c r="K48" s="127">
        <f t="shared" si="18"/>
        <v>0</v>
      </c>
      <c r="L48" s="127">
        <f t="shared" si="18"/>
        <v>0</v>
      </c>
      <c r="M48" s="127">
        <f t="shared" si="18"/>
        <v>0</v>
      </c>
      <c r="N48" s="127">
        <f t="shared" si="18"/>
        <v>0</v>
      </c>
      <c r="O48" s="127">
        <f t="shared" si="18"/>
        <v>0</v>
      </c>
      <c r="P48" s="127">
        <f t="shared" si="18"/>
        <v>0</v>
      </c>
      <c r="Q48" s="137">
        <f t="shared" si="17"/>
        <v>0</v>
      </c>
    </row>
    <row r="49" spans="2:17" x14ac:dyDescent="0.2">
      <c r="B49" s="44"/>
      <c r="C49" s="132">
        <f t="shared" si="12"/>
        <v>0</v>
      </c>
      <c r="D49" s="128" t="s">
        <v>23</v>
      </c>
      <c r="E49" s="127">
        <f t="shared" ref="E49:P49" si="19">IF(E39&gt;0,E39,E29)*E19*E$12</f>
        <v>0</v>
      </c>
      <c r="F49" s="127">
        <f t="shared" si="19"/>
        <v>0</v>
      </c>
      <c r="G49" s="127">
        <f t="shared" si="19"/>
        <v>0</v>
      </c>
      <c r="H49" s="127">
        <f t="shared" si="19"/>
        <v>0</v>
      </c>
      <c r="I49" s="127">
        <f t="shared" si="19"/>
        <v>0</v>
      </c>
      <c r="J49" s="127">
        <f t="shared" si="19"/>
        <v>0</v>
      </c>
      <c r="K49" s="127">
        <f t="shared" si="19"/>
        <v>0</v>
      </c>
      <c r="L49" s="127">
        <f t="shared" si="19"/>
        <v>0</v>
      </c>
      <c r="M49" s="127">
        <f t="shared" si="19"/>
        <v>0</v>
      </c>
      <c r="N49" s="127">
        <f t="shared" si="19"/>
        <v>0</v>
      </c>
      <c r="O49" s="127">
        <f t="shared" si="19"/>
        <v>0</v>
      </c>
      <c r="P49" s="127">
        <f t="shared" si="19"/>
        <v>0</v>
      </c>
      <c r="Q49" s="137">
        <f t="shared" si="17"/>
        <v>0</v>
      </c>
    </row>
    <row r="50" spans="2:17" x14ac:dyDescent="0.2">
      <c r="B50" s="44"/>
      <c r="C50" s="132">
        <f t="shared" si="12"/>
        <v>0</v>
      </c>
      <c r="D50" s="128" t="s">
        <v>23</v>
      </c>
      <c r="E50" s="127">
        <f t="shared" ref="E50:P50" si="20">IF(E40&gt;0,E40,E30)*E20*E$12</f>
        <v>0</v>
      </c>
      <c r="F50" s="127">
        <f t="shared" si="20"/>
        <v>0</v>
      </c>
      <c r="G50" s="127">
        <f t="shared" si="20"/>
        <v>0</v>
      </c>
      <c r="H50" s="127">
        <f t="shared" si="20"/>
        <v>0</v>
      </c>
      <c r="I50" s="127">
        <f t="shared" si="20"/>
        <v>0</v>
      </c>
      <c r="J50" s="127">
        <f t="shared" si="20"/>
        <v>0</v>
      </c>
      <c r="K50" s="127">
        <f t="shared" si="20"/>
        <v>0</v>
      </c>
      <c r="L50" s="127">
        <f t="shared" si="20"/>
        <v>0</v>
      </c>
      <c r="M50" s="127">
        <f t="shared" si="20"/>
        <v>0</v>
      </c>
      <c r="N50" s="127">
        <f t="shared" si="20"/>
        <v>0</v>
      </c>
      <c r="O50" s="127">
        <f t="shared" si="20"/>
        <v>0</v>
      </c>
      <c r="P50" s="127">
        <f t="shared" si="20"/>
        <v>0</v>
      </c>
      <c r="Q50" s="137">
        <f t="shared" si="17"/>
        <v>0</v>
      </c>
    </row>
    <row r="51" spans="2:17" x14ac:dyDescent="0.2">
      <c r="B51" s="44"/>
      <c r="C51" s="133" t="s">
        <v>0</v>
      </c>
      <c r="D51" s="128" t="s">
        <v>23</v>
      </c>
      <c r="E51" s="127">
        <f t="shared" ref="E51:P51" si="21">SUM(E44:E50)</f>
        <v>0</v>
      </c>
      <c r="F51" s="127">
        <f t="shared" si="21"/>
        <v>0</v>
      </c>
      <c r="G51" s="127">
        <f t="shared" si="21"/>
        <v>0</v>
      </c>
      <c r="H51" s="127">
        <f t="shared" si="21"/>
        <v>0</v>
      </c>
      <c r="I51" s="127">
        <f t="shared" si="21"/>
        <v>0</v>
      </c>
      <c r="J51" s="127">
        <f t="shared" si="21"/>
        <v>0</v>
      </c>
      <c r="K51" s="127">
        <f t="shared" si="21"/>
        <v>0</v>
      </c>
      <c r="L51" s="127">
        <f t="shared" si="21"/>
        <v>0</v>
      </c>
      <c r="M51" s="127">
        <f t="shared" si="21"/>
        <v>0</v>
      </c>
      <c r="N51" s="127">
        <f t="shared" si="21"/>
        <v>0</v>
      </c>
      <c r="O51" s="127">
        <f t="shared" si="21"/>
        <v>0</v>
      </c>
      <c r="P51" s="127">
        <f t="shared" si="21"/>
        <v>0</v>
      </c>
      <c r="Q51" s="137">
        <f>SUM(E51:P51)</f>
        <v>0</v>
      </c>
    </row>
    <row r="52" spans="2:17" ht="13.5" thickBot="1" x14ac:dyDescent="0.25">
      <c r="B52" s="44"/>
      <c r="C52" s="138" t="s">
        <v>34</v>
      </c>
      <c r="D52" s="139" t="s">
        <v>21</v>
      </c>
      <c r="E52" s="140" t="e">
        <f t="shared" ref="E52:Q52" si="22">E51/E21/E12</f>
        <v>#DIV/0!</v>
      </c>
      <c r="F52" s="140" t="e">
        <f t="shared" si="22"/>
        <v>#DIV/0!</v>
      </c>
      <c r="G52" s="140" t="e">
        <f t="shared" si="22"/>
        <v>#DIV/0!</v>
      </c>
      <c r="H52" s="140" t="e">
        <f t="shared" si="22"/>
        <v>#DIV/0!</v>
      </c>
      <c r="I52" s="140" t="e">
        <f t="shared" si="22"/>
        <v>#DIV/0!</v>
      </c>
      <c r="J52" s="140" t="e">
        <f t="shared" si="22"/>
        <v>#DIV/0!</v>
      </c>
      <c r="K52" s="140" t="e">
        <f t="shared" si="22"/>
        <v>#DIV/0!</v>
      </c>
      <c r="L52" s="140" t="e">
        <f t="shared" si="22"/>
        <v>#DIV/0!</v>
      </c>
      <c r="M52" s="140" t="e">
        <f t="shared" si="22"/>
        <v>#DIV/0!</v>
      </c>
      <c r="N52" s="140" t="e">
        <f t="shared" si="22"/>
        <v>#DIV/0!</v>
      </c>
      <c r="O52" s="140" t="e">
        <f t="shared" si="22"/>
        <v>#DIV/0!</v>
      </c>
      <c r="P52" s="140" t="e">
        <f t="shared" si="22"/>
        <v>#DIV/0!</v>
      </c>
      <c r="Q52" s="141" t="e">
        <f t="shared" si="22"/>
        <v>#DIV/0!</v>
      </c>
    </row>
    <row r="53" spans="2:17" ht="15.75" x14ac:dyDescent="0.2">
      <c r="B53" s="122" t="s">
        <v>82</v>
      </c>
      <c r="C53" s="58"/>
      <c r="D53" s="156"/>
      <c r="E53" s="57"/>
      <c r="F53" s="57"/>
      <c r="G53" s="57"/>
      <c r="H53" s="57"/>
      <c r="I53" s="57"/>
      <c r="J53" s="57"/>
      <c r="K53" s="57"/>
      <c r="L53" s="57"/>
      <c r="M53" s="57"/>
      <c r="N53" s="57"/>
      <c r="O53" s="57"/>
      <c r="P53" s="57"/>
      <c r="Q53" s="162"/>
    </row>
    <row r="54" spans="2:17" x14ac:dyDescent="0.2">
      <c r="B54" s="164" t="s">
        <v>1</v>
      </c>
      <c r="C54" s="31"/>
      <c r="D54" s="31"/>
      <c r="E54" s="316" t="str">
        <f t="shared" ref="E54:P54" si="23">E11</f>
        <v>Mar</v>
      </c>
      <c r="F54" s="316" t="str">
        <f t="shared" si="23"/>
        <v>Apr</v>
      </c>
      <c r="G54" s="316" t="str">
        <f t="shared" si="23"/>
        <v>May</v>
      </c>
      <c r="H54" s="316" t="str">
        <f t="shared" si="23"/>
        <v>Jun</v>
      </c>
      <c r="I54" s="316" t="str">
        <f t="shared" si="23"/>
        <v>Jul</v>
      </c>
      <c r="J54" s="316" t="str">
        <f t="shared" si="23"/>
        <v>Aug</v>
      </c>
      <c r="K54" s="316" t="str">
        <f t="shared" si="23"/>
        <v>Sep</v>
      </c>
      <c r="L54" s="316" t="str">
        <f t="shared" si="23"/>
        <v>Oct</v>
      </c>
      <c r="M54" s="316" t="str">
        <f t="shared" si="23"/>
        <v>Nov</v>
      </c>
      <c r="N54" s="316" t="str">
        <f t="shared" si="23"/>
        <v>Dec</v>
      </c>
      <c r="O54" s="316" t="str">
        <f t="shared" si="23"/>
        <v>Jan</v>
      </c>
      <c r="P54" s="316" t="str">
        <f t="shared" si="23"/>
        <v>Feb</v>
      </c>
      <c r="Q54" s="163"/>
    </row>
    <row r="55" spans="2:17" x14ac:dyDescent="0.2">
      <c r="B55" s="56" t="s">
        <v>83</v>
      </c>
      <c r="C55" s="58"/>
      <c r="D55" s="157"/>
      <c r="E55" s="58"/>
      <c r="F55" s="58"/>
      <c r="G55" s="58"/>
      <c r="H55" s="58"/>
      <c r="I55" s="58"/>
      <c r="J55" s="58"/>
      <c r="K55" s="58"/>
      <c r="L55" s="58"/>
      <c r="M55" s="58"/>
      <c r="N55" s="58"/>
      <c r="O55" s="58"/>
      <c r="P55" s="58"/>
      <c r="Q55" s="161"/>
    </row>
    <row r="56" spans="2:17" x14ac:dyDescent="0.2">
      <c r="B56" s="59"/>
      <c r="C56" s="142" t="s">
        <v>311</v>
      </c>
      <c r="D56" s="143" t="s">
        <v>16</v>
      </c>
      <c r="E56" s="290">
        <f>'P1 CF'!C18</f>
        <v>1230</v>
      </c>
      <c r="F56" s="288">
        <f>'P1 CF'!D18</f>
        <v>1230</v>
      </c>
      <c r="G56" s="288">
        <f>'P1 CF'!E18</f>
        <v>1204</v>
      </c>
      <c r="H56" s="288">
        <f>'P1 CF'!F18</f>
        <v>1229.5</v>
      </c>
      <c r="I56" s="288">
        <f>'P1 CF'!G18</f>
        <v>1356.5</v>
      </c>
      <c r="J56" s="288">
        <f>'P1 CF'!H18</f>
        <v>1424.5</v>
      </c>
      <c r="K56" s="288">
        <f>'P1 CF'!I18</f>
        <v>1409.5</v>
      </c>
      <c r="L56" s="288">
        <f>'P1 CF'!J18</f>
        <v>1394.5</v>
      </c>
      <c r="M56" s="288">
        <f>'P1 CF'!K18</f>
        <v>1379.5</v>
      </c>
      <c r="N56" s="288">
        <f>'P1 CF'!L18</f>
        <v>1364.5</v>
      </c>
      <c r="O56" s="288">
        <f>'P1 CF'!M18</f>
        <v>1349.5</v>
      </c>
      <c r="P56" s="288">
        <f>'P1 CF'!N18</f>
        <v>1334.5</v>
      </c>
      <c r="Q56" s="144"/>
    </row>
    <row r="57" spans="2:17" x14ac:dyDescent="0.2">
      <c r="B57" s="59"/>
      <c r="C57" s="145" t="s">
        <v>19</v>
      </c>
      <c r="D57" s="146" t="s">
        <v>16</v>
      </c>
      <c r="E57" s="291">
        <f>'P1 CF'!C16</f>
        <v>136</v>
      </c>
      <c r="F57" s="289">
        <f>'P1 CF'!D16</f>
        <v>136</v>
      </c>
      <c r="G57" s="289">
        <f>'P1 CF'!E16</f>
        <v>152</v>
      </c>
      <c r="H57" s="289">
        <f>'P1 CF'!F16</f>
        <v>144</v>
      </c>
      <c r="I57" s="289">
        <f>'P1 CF'!G16</f>
        <v>95</v>
      </c>
      <c r="J57" s="289">
        <f>'P1 CF'!H16</f>
        <v>70</v>
      </c>
      <c r="K57" s="289">
        <f>'P1 CF'!I16</f>
        <v>70</v>
      </c>
      <c r="L57" s="289">
        <f>'P1 CF'!J16</f>
        <v>70</v>
      </c>
      <c r="M57" s="289">
        <f>'P1 CF'!K16</f>
        <v>70</v>
      </c>
      <c r="N57" s="289">
        <f>'P1 CF'!L16</f>
        <v>70</v>
      </c>
      <c r="O57" s="289">
        <f>'P1 CF'!M16</f>
        <v>70</v>
      </c>
      <c r="P57" s="289">
        <f>'P1 CF'!N16</f>
        <v>70</v>
      </c>
      <c r="Q57" s="148"/>
    </row>
    <row r="58" spans="2:17" x14ac:dyDescent="0.2">
      <c r="B58" s="59"/>
      <c r="C58" s="145" t="str">
        <f>'P1 CF'!A37</f>
        <v>Heifers in Calf</v>
      </c>
      <c r="D58" s="146" t="s">
        <v>16</v>
      </c>
      <c r="E58" s="291">
        <f>'P1 CF'!C37-'P1 CF'!C42</f>
        <v>250</v>
      </c>
      <c r="F58" s="289">
        <f>'P1 CF'!D37-'P1 CF'!D42</f>
        <v>250</v>
      </c>
      <c r="G58" s="289">
        <f>'P1 CF'!E37-'P1 CF'!E42</f>
        <v>250</v>
      </c>
      <c r="H58" s="289">
        <f>'P1 CF'!F37-'P1 CF'!F42</f>
        <v>180</v>
      </c>
      <c r="I58" s="289">
        <f>'P1 CF'!G37-'P1 CF'!G42</f>
        <v>64</v>
      </c>
      <c r="J58" s="289">
        <f>'P1 CF'!H37-'P1 CF'!H42</f>
        <v>64</v>
      </c>
      <c r="K58" s="289">
        <f>'P1 CF'!I37-'P1 CF'!I42</f>
        <v>64</v>
      </c>
      <c r="L58" s="289">
        <f>'P1 CF'!J37-'P1 CF'!J42</f>
        <v>64</v>
      </c>
      <c r="M58" s="289">
        <f>'P1 CF'!K37-'P1 CF'!K42</f>
        <v>64</v>
      </c>
      <c r="N58" s="289">
        <f>'P1 CF'!L37-'P1 CF'!L42</f>
        <v>64</v>
      </c>
      <c r="O58" s="289">
        <f>'P1 CF'!M37-'P1 CF'!M42</f>
        <v>64</v>
      </c>
      <c r="P58" s="289">
        <f>'P1 CF'!N37-'P1 CF'!N42</f>
        <v>64</v>
      </c>
      <c r="Q58" s="149"/>
    </row>
    <row r="59" spans="2:17" x14ac:dyDescent="0.2">
      <c r="B59" s="59"/>
      <c r="C59" s="145" t="str">
        <f>'P1 CF'!A35</f>
        <v>Post-Weaned Heifers</v>
      </c>
      <c r="D59" s="146" t="s">
        <v>16</v>
      </c>
      <c r="E59" s="291">
        <f>'P1 CF'!C35-'P1 CF'!C41</f>
        <v>500</v>
      </c>
      <c r="F59" s="289">
        <f>'P1 CF'!D35-'P1 CF'!D41</f>
        <v>500</v>
      </c>
      <c r="G59" s="289">
        <f>'P1 CF'!E35-'P1 CF'!E41</f>
        <v>500</v>
      </c>
      <c r="H59" s="289">
        <f>'P1 CF'!F35-'P1 CF'!F41</f>
        <v>500</v>
      </c>
      <c r="I59" s="289">
        <f>'P1 CF'!G35-'P1 CF'!G41</f>
        <v>515.20000000000005</v>
      </c>
      <c r="J59" s="289">
        <f>'P1 CF'!H35-'P1 CF'!H41</f>
        <v>562.40000000000009</v>
      </c>
      <c r="K59" s="289">
        <f>'P1 CF'!I35-'P1 CF'!I41</f>
        <v>628.80000000000007</v>
      </c>
      <c r="L59" s="289">
        <f>'P1 CF'!J35-'P1 CF'!J41</f>
        <v>628.80000000000007</v>
      </c>
      <c r="M59" s="289">
        <f>'P1 CF'!K35-'P1 CF'!K41</f>
        <v>628.80000000000007</v>
      </c>
      <c r="N59" s="289">
        <f>'P1 CF'!L35-'P1 CF'!L41</f>
        <v>628.80000000000007</v>
      </c>
      <c r="O59" s="289">
        <f>'P1 CF'!M35-'P1 CF'!M41</f>
        <v>628.80000000000007</v>
      </c>
      <c r="P59" s="289">
        <f>'P1 CF'!N35-'P1 CF'!N41</f>
        <v>628.80000000000007</v>
      </c>
      <c r="Q59" s="149"/>
    </row>
    <row r="60" spans="2:17" x14ac:dyDescent="0.2">
      <c r="B60" s="59"/>
      <c r="C60" s="145" t="str">
        <f>'P1 CF'!A33</f>
        <v>Pre-Weaned Heifers</v>
      </c>
      <c r="D60" s="146" t="s">
        <v>16</v>
      </c>
      <c r="E60" s="291">
        <f>'P1 CF'!C33</f>
        <v>120</v>
      </c>
      <c r="F60" s="289">
        <f>'P1 CF'!D33</f>
        <v>120</v>
      </c>
      <c r="G60" s="289">
        <f>'P1 CF'!E33</f>
        <v>135.19999999999999</v>
      </c>
      <c r="H60" s="289">
        <f>'P1 CF'!F33</f>
        <v>182.39999999999998</v>
      </c>
      <c r="I60" s="289">
        <f>'P1 CF'!G33</f>
        <v>233.6</v>
      </c>
      <c r="J60" s="289">
        <f>'P1 CF'!H33</f>
        <v>186.39999999999998</v>
      </c>
      <c r="K60" s="289">
        <f>'P1 CF'!I33</f>
        <v>119.99999999999997</v>
      </c>
      <c r="L60" s="289">
        <f>'P1 CF'!J33</f>
        <v>119.99999999999997</v>
      </c>
      <c r="M60" s="289">
        <f>'P1 CF'!K33</f>
        <v>119.99999999999997</v>
      </c>
      <c r="N60" s="289">
        <f>'P1 CF'!L33</f>
        <v>119.99999999999997</v>
      </c>
      <c r="O60" s="289">
        <f>'P1 CF'!M33</f>
        <v>119.99999999999997</v>
      </c>
      <c r="P60" s="289">
        <f>'P1 CF'!N33</f>
        <v>119.99999999999997</v>
      </c>
      <c r="Q60" s="149"/>
    </row>
    <row r="61" spans="2:17" x14ac:dyDescent="0.2">
      <c r="B61" s="59"/>
      <c r="C61" s="145" t="s">
        <v>42</v>
      </c>
      <c r="D61" s="146" t="s">
        <v>16</v>
      </c>
      <c r="E61" s="291"/>
      <c r="F61" s="289"/>
      <c r="G61" s="289"/>
      <c r="H61" s="289"/>
      <c r="I61" s="289"/>
      <c r="J61" s="289"/>
      <c r="K61" s="289"/>
      <c r="L61" s="289"/>
      <c r="M61" s="289"/>
      <c r="N61" s="289"/>
      <c r="O61" s="289"/>
      <c r="P61" s="289"/>
      <c r="Q61" s="149"/>
    </row>
    <row r="62" spans="2:17" x14ac:dyDescent="0.2">
      <c r="B62" s="59"/>
      <c r="C62" s="145" t="s">
        <v>38</v>
      </c>
      <c r="D62" s="146" t="s">
        <v>16</v>
      </c>
      <c r="E62" s="291"/>
      <c r="F62" s="289"/>
      <c r="G62" s="289"/>
      <c r="H62" s="289"/>
      <c r="I62" s="289"/>
      <c r="J62" s="289"/>
      <c r="K62" s="289"/>
      <c r="L62" s="289"/>
      <c r="M62" s="289"/>
      <c r="N62" s="289"/>
      <c r="O62" s="289"/>
      <c r="P62" s="289"/>
      <c r="Q62" s="149"/>
    </row>
    <row r="63" spans="2:17" x14ac:dyDescent="0.2">
      <c r="B63" s="59"/>
      <c r="C63" s="145" t="s">
        <v>39</v>
      </c>
      <c r="D63" s="146" t="s">
        <v>16</v>
      </c>
      <c r="E63" s="291"/>
      <c r="F63" s="289"/>
      <c r="G63" s="289"/>
      <c r="H63" s="289"/>
      <c r="I63" s="289"/>
      <c r="J63" s="289"/>
      <c r="K63" s="289"/>
      <c r="L63" s="289"/>
      <c r="M63" s="289"/>
      <c r="N63" s="289"/>
      <c r="O63" s="289"/>
      <c r="P63" s="289"/>
      <c r="Q63" s="149"/>
    </row>
    <row r="64" spans="2:17" x14ac:dyDescent="0.2">
      <c r="B64" s="59"/>
      <c r="C64" s="150"/>
      <c r="D64" s="158"/>
      <c r="E64" s="150"/>
      <c r="F64" s="150"/>
      <c r="G64" s="150"/>
      <c r="H64" s="150"/>
      <c r="I64" s="150"/>
      <c r="J64" s="150"/>
      <c r="K64" s="150"/>
      <c r="L64" s="150"/>
      <c r="M64" s="150"/>
      <c r="N64" s="150"/>
      <c r="O64" s="150"/>
      <c r="P64" s="145"/>
      <c r="Q64" s="149"/>
    </row>
    <row r="65" spans="2:17" x14ac:dyDescent="0.2">
      <c r="B65" s="59"/>
      <c r="C65" s="145" t="s">
        <v>503</v>
      </c>
      <c r="D65" s="146" t="s">
        <v>16</v>
      </c>
      <c r="E65" s="291"/>
      <c r="F65" s="289"/>
      <c r="G65" s="289"/>
      <c r="H65" s="289"/>
      <c r="I65" s="289"/>
      <c r="J65" s="289"/>
      <c r="K65" s="289"/>
      <c r="L65" s="289"/>
      <c r="M65" s="289"/>
      <c r="N65" s="289"/>
      <c r="O65" s="289"/>
      <c r="P65" s="289"/>
      <c r="Q65" s="149"/>
    </row>
    <row r="66" spans="2:17" x14ac:dyDescent="0.2">
      <c r="B66" s="59"/>
      <c r="C66" s="145" t="s">
        <v>451</v>
      </c>
      <c r="D66" s="146" t="s">
        <v>16</v>
      </c>
      <c r="E66" s="291"/>
      <c r="F66" s="289"/>
      <c r="G66" s="289"/>
      <c r="H66" s="289"/>
      <c r="I66" s="289"/>
      <c r="J66" s="289"/>
      <c r="K66" s="289"/>
      <c r="L66" s="289"/>
      <c r="M66" s="289"/>
      <c r="N66" s="289"/>
      <c r="O66" s="289"/>
      <c r="P66" s="289"/>
      <c r="Q66" s="149"/>
    </row>
    <row r="67" spans="2:17" x14ac:dyDescent="0.2">
      <c r="B67" s="59"/>
      <c r="C67" s="145" t="s">
        <v>451</v>
      </c>
      <c r="D67" s="146" t="s">
        <v>16</v>
      </c>
      <c r="E67" s="291"/>
      <c r="F67" s="289"/>
      <c r="G67" s="289"/>
      <c r="H67" s="289"/>
      <c r="I67" s="289"/>
      <c r="J67" s="289"/>
      <c r="K67" s="289"/>
      <c r="L67" s="289"/>
      <c r="M67" s="289"/>
      <c r="N67" s="289"/>
      <c r="O67" s="289"/>
      <c r="P67" s="289"/>
      <c r="Q67" s="149"/>
    </row>
    <row r="68" spans="2:17" x14ac:dyDescent="0.2">
      <c r="B68" s="59"/>
      <c r="C68" s="145" t="s">
        <v>451</v>
      </c>
      <c r="D68" s="146" t="s">
        <v>16</v>
      </c>
      <c r="E68" s="291"/>
      <c r="F68" s="289"/>
      <c r="G68" s="289"/>
      <c r="H68" s="289"/>
      <c r="I68" s="289"/>
      <c r="J68" s="289"/>
      <c r="K68" s="289"/>
      <c r="L68" s="289"/>
      <c r="M68" s="289"/>
      <c r="N68" s="289"/>
      <c r="O68" s="289"/>
      <c r="P68" s="289"/>
      <c r="Q68" s="149"/>
    </row>
    <row r="69" spans="2:17" x14ac:dyDescent="0.2">
      <c r="B69" s="59"/>
      <c r="C69" s="145" t="s">
        <v>451</v>
      </c>
      <c r="D69" s="146" t="s">
        <v>16</v>
      </c>
      <c r="E69" s="292"/>
      <c r="F69" s="293"/>
      <c r="G69" s="293"/>
      <c r="H69" s="293"/>
      <c r="I69" s="293"/>
      <c r="J69" s="293"/>
      <c r="K69" s="293"/>
      <c r="L69" s="293"/>
      <c r="M69" s="293"/>
      <c r="N69" s="293"/>
      <c r="O69" s="293"/>
      <c r="P69" s="293"/>
      <c r="Q69" s="149"/>
    </row>
    <row r="70" spans="2:17" x14ac:dyDescent="0.2">
      <c r="B70" s="59"/>
      <c r="C70" s="145" t="s">
        <v>451</v>
      </c>
      <c r="D70" s="147" t="s">
        <v>16</v>
      </c>
      <c r="E70" s="292"/>
      <c r="F70" s="293"/>
      <c r="G70" s="293"/>
      <c r="H70" s="293"/>
      <c r="I70" s="293"/>
      <c r="J70" s="293"/>
      <c r="K70" s="293"/>
      <c r="L70" s="293"/>
      <c r="M70" s="293"/>
      <c r="N70" s="293"/>
      <c r="O70" s="293"/>
      <c r="P70" s="293"/>
      <c r="Q70" s="149"/>
    </row>
    <row r="71" spans="2:17" x14ac:dyDescent="0.2">
      <c r="B71" s="124"/>
      <c r="C71" s="123"/>
      <c r="D71" s="159"/>
      <c r="E71" s="123"/>
      <c r="F71" s="123"/>
      <c r="G71" s="123"/>
      <c r="H71" s="123"/>
      <c r="I71" s="123"/>
      <c r="J71" s="123"/>
      <c r="K71" s="123"/>
      <c r="L71" s="123"/>
      <c r="M71" s="123"/>
      <c r="N71" s="123"/>
      <c r="O71" s="123"/>
      <c r="P71" s="123"/>
      <c r="Q71" s="160"/>
    </row>
    <row r="72" spans="2:17" x14ac:dyDescent="0.2">
      <c r="B72" s="56" t="s">
        <v>62</v>
      </c>
      <c r="C72" s="60"/>
      <c r="D72" s="165"/>
      <c r="E72" s="58"/>
      <c r="F72" s="58"/>
      <c r="G72" s="58"/>
      <c r="H72" s="58"/>
      <c r="I72" s="58"/>
      <c r="J72" s="58"/>
      <c r="K72" s="58"/>
      <c r="L72" s="58"/>
      <c r="M72" s="58"/>
      <c r="N72" s="58"/>
      <c r="O72" s="58"/>
      <c r="P72" s="306"/>
      <c r="Q72" s="161"/>
    </row>
    <row r="73" spans="2:17" x14ac:dyDescent="0.2">
      <c r="B73" s="59"/>
      <c r="C73" s="142" t="str">
        <f>C56</f>
        <v>Cows in Milk</v>
      </c>
      <c r="D73" s="143" t="s">
        <v>17</v>
      </c>
      <c r="E73" s="648">
        <f>'P1 CF'!C29</f>
        <v>17</v>
      </c>
      <c r="F73" s="648">
        <f>'P1 CF'!D29</f>
        <v>17</v>
      </c>
      <c r="G73" s="648">
        <f>'P1 CF'!E29</f>
        <v>17</v>
      </c>
      <c r="H73" s="648">
        <f>'P1 CF'!F29</f>
        <v>17</v>
      </c>
      <c r="I73" s="648">
        <f>'P1 CF'!G29</f>
        <v>17</v>
      </c>
      <c r="J73" s="648">
        <f>'P1 CF'!H29</f>
        <v>17</v>
      </c>
      <c r="K73" s="648">
        <f>'P1 CF'!I29</f>
        <v>17</v>
      </c>
      <c r="L73" s="648">
        <f>'P1 CF'!J29</f>
        <v>17</v>
      </c>
      <c r="M73" s="648">
        <f>'P1 CF'!K29</f>
        <v>17</v>
      </c>
      <c r="N73" s="648">
        <f>'P1 CF'!L29</f>
        <v>17</v>
      </c>
      <c r="O73" s="648">
        <f>'P1 CF'!M29</f>
        <v>17</v>
      </c>
      <c r="P73" s="648">
        <f>'P1 CF'!N29</f>
        <v>17</v>
      </c>
      <c r="Q73" s="161"/>
    </row>
    <row r="74" spans="2:17" x14ac:dyDescent="0.2">
      <c r="B74" s="59"/>
      <c r="C74" s="142" t="str">
        <f t="shared" ref="C74:C77" si="24">C57</f>
        <v>Dry Cows</v>
      </c>
      <c r="D74" s="146" t="s">
        <v>17</v>
      </c>
      <c r="E74" s="312">
        <v>10</v>
      </c>
      <c r="F74" s="312">
        <f>E74</f>
        <v>10</v>
      </c>
      <c r="G74" s="312">
        <f t="shared" ref="G74:P77" si="25">F74</f>
        <v>10</v>
      </c>
      <c r="H74" s="312">
        <f t="shared" si="25"/>
        <v>10</v>
      </c>
      <c r="I74" s="312">
        <f t="shared" si="25"/>
        <v>10</v>
      </c>
      <c r="J74" s="312">
        <f t="shared" si="25"/>
        <v>10</v>
      </c>
      <c r="K74" s="312">
        <f t="shared" si="25"/>
        <v>10</v>
      </c>
      <c r="L74" s="312">
        <f t="shared" si="25"/>
        <v>10</v>
      </c>
      <c r="M74" s="312">
        <f t="shared" si="25"/>
        <v>10</v>
      </c>
      <c r="N74" s="312">
        <f t="shared" si="25"/>
        <v>10</v>
      </c>
      <c r="O74" s="312">
        <f t="shared" si="25"/>
        <v>10</v>
      </c>
      <c r="P74" s="312">
        <f t="shared" si="25"/>
        <v>10</v>
      </c>
      <c r="Q74" s="161"/>
    </row>
    <row r="75" spans="2:17" x14ac:dyDescent="0.2">
      <c r="B75" s="59"/>
      <c r="C75" s="142" t="str">
        <f t="shared" si="24"/>
        <v>Heifers in Calf</v>
      </c>
      <c r="D75" s="146" t="s">
        <v>17</v>
      </c>
      <c r="E75" s="312">
        <v>7</v>
      </c>
      <c r="F75" s="312">
        <f>E75</f>
        <v>7</v>
      </c>
      <c r="G75" s="312">
        <f t="shared" si="25"/>
        <v>7</v>
      </c>
      <c r="H75" s="312">
        <f t="shared" si="25"/>
        <v>7</v>
      </c>
      <c r="I75" s="312">
        <f t="shared" si="25"/>
        <v>7</v>
      </c>
      <c r="J75" s="312">
        <f t="shared" si="25"/>
        <v>7</v>
      </c>
      <c r="K75" s="312">
        <f t="shared" si="25"/>
        <v>7</v>
      </c>
      <c r="L75" s="312">
        <f t="shared" si="25"/>
        <v>7</v>
      </c>
      <c r="M75" s="312">
        <f t="shared" si="25"/>
        <v>7</v>
      </c>
      <c r="N75" s="312">
        <f t="shared" si="25"/>
        <v>7</v>
      </c>
      <c r="O75" s="312">
        <f t="shared" si="25"/>
        <v>7</v>
      </c>
      <c r="P75" s="312">
        <f t="shared" si="25"/>
        <v>7</v>
      </c>
      <c r="Q75" s="161"/>
    </row>
    <row r="76" spans="2:17" x14ac:dyDescent="0.2">
      <c r="B76" s="59"/>
      <c r="C76" s="142" t="str">
        <f t="shared" si="24"/>
        <v>Post-Weaned Heifers</v>
      </c>
      <c r="D76" s="146" t="s">
        <v>17</v>
      </c>
      <c r="E76" s="312">
        <v>4</v>
      </c>
      <c r="F76" s="312">
        <f t="shared" ref="F76" si="26">E76</f>
        <v>4</v>
      </c>
      <c r="G76" s="312">
        <f t="shared" si="25"/>
        <v>4</v>
      </c>
      <c r="H76" s="312">
        <f t="shared" si="25"/>
        <v>4</v>
      </c>
      <c r="I76" s="312">
        <f t="shared" si="25"/>
        <v>4</v>
      </c>
      <c r="J76" s="312">
        <f t="shared" si="25"/>
        <v>4</v>
      </c>
      <c r="K76" s="312">
        <f t="shared" si="25"/>
        <v>4</v>
      </c>
      <c r="L76" s="312">
        <f t="shared" si="25"/>
        <v>4</v>
      </c>
      <c r="M76" s="312">
        <f t="shared" si="25"/>
        <v>4</v>
      </c>
      <c r="N76" s="312">
        <f t="shared" si="25"/>
        <v>4</v>
      </c>
      <c r="O76" s="312">
        <f t="shared" si="25"/>
        <v>4</v>
      </c>
      <c r="P76" s="312">
        <f t="shared" si="25"/>
        <v>4</v>
      </c>
      <c r="Q76" s="161"/>
    </row>
    <row r="77" spans="2:17" x14ac:dyDescent="0.2">
      <c r="B77" s="59"/>
      <c r="C77" s="142" t="str">
        <f t="shared" si="24"/>
        <v>Pre-Weaned Heifers</v>
      </c>
      <c r="D77" s="146" t="s">
        <v>17</v>
      </c>
      <c r="E77" s="312">
        <v>0</v>
      </c>
      <c r="F77" s="312">
        <f t="shared" ref="F77" si="27">E77</f>
        <v>0</v>
      </c>
      <c r="G77" s="312">
        <f t="shared" si="25"/>
        <v>0</v>
      </c>
      <c r="H77" s="312">
        <f t="shared" si="25"/>
        <v>0</v>
      </c>
      <c r="I77" s="312">
        <f t="shared" si="25"/>
        <v>0</v>
      </c>
      <c r="J77" s="312">
        <f t="shared" si="25"/>
        <v>0</v>
      </c>
      <c r="K77" s="312">
        <f t="shared" si="25"/>
        <v>0</v>
      </c>
      <c r="L77" s="312">
        <f t="shared" si="25"/>
        <v>0</v>
      </c>
      <c r="M77" s="312">
        <f t="shared" si="25"/>
        <v>0</v>
      </c>
      <c r="N77" s="312">
        <f t="shared" si="25"/>
        <v>0</v>
      </c>
      <c r="O77" s="312">
        <f t="shared" si="25"/>
        <v>0</v>
      </c>
      <c r="P77" s="312">
        <f t="shared" si="25"/>
        <v>0</v>
      </c>
      <c r="Q77" s="161"/>
    </row>
    <row r="78" spans="2:17" x14ac:dyDescent="0.2">
      <c r="B78" s="59"/>
      <c r="C78" s="145" t="s">
        <v>42</v>
      </c>
      <c r="D78" s="146" t="s">
        <v>17</v>
      </c>
      <c r="E78" s="312"/>
      <c r="F78" s="312"/>
      <c r="G78" s="312"/>
      <c r="H78" s="312"/>
      <c r="I78" s="312"/>
      <c r="J78" s="312"/>
      <c r="K78" s="312"/>
      <c r="L78" s="312"/>
      <c r="M78" s="312"/>
      <c r="N78" s="312"/>
      <c r="O78" s="312"/>
      <c r="P78" s="312"/>
      <c r="Q78" s="161"/>
    </row>
    <row r="79" spans="2:17" x14ac:dyDescent="0.2">
      <c r="B79" s="59"/>
      <c r="C79" s="145" t="s">
        <v>38</v>
      </c>
      <c r="D79" s="146" t="s">
        <v>17</v>
      </c>
      <c r="E79" s="312"/>
      <c r="F79" s="312"/>
      <c r="G79" s="312"/>
      <c r="H79" s="312"/>
      <c r="I79" s="312"/>
      <c r="J79" s="312"/>
      <c r="K79" s="312"/>
      <c r="L79" s="312"/>
      <c r="M79" s="312"/>
      <c r="N79" s="312"/>
      <c r="O79" s="312"/>
      <c r="P79" s="312"/>
      <c r="Q79" s="161"/>
    </row>
    <row r="80" spans="2:17" x14ac:dyDescent="0.2">
      <c r="B80" s="59"/>
      <c r="C80" s="145" t="s">
        <v>39</v>
      </c>
      <c r="D80" s="146" t="s">
        <v>17</v>
      </c>
      <c r="E80" s="312"/>
      <c r="F80" s="312"/>
      <c r="G80" s="312"/>
      <c r="H80" s="312"/>
      <c r="I80" s="312"/>
      <c r="J80" s="312"/>
      <c r="K80" s="312"/>
      <c r="L80" s="312"/>
      <c r="M80" s="312"/>
      <c r="N80" s="312"/>
      <c r="O80" s="312"/>
      <c r="P80" s="312"/>
      <c r="Q80" s="161"/>
    </row>
    <row r="81" spans="2:19" x14ac:dyDescent="0.2">
      <c r="B81" s="59"/>
      <c r="C81" s="150"/>
      <c r="D81" s="150"/>
      <c r="E81" s="150"/>
      <c r="F81" s="150"/>
      <c r="G81" s="150"/>
      <c r="H81" s="150"/>
      <c r="I81" s="150"/>
      <c r="J81" s="150"/>
      <c r="K81" s="150"/>
      <c r="L81" s="150"/>
      <c r="M81" s="150"/>
      <c r="N81" s="150"/>
      <c r="O81" s="150"/>
      <c r="P81" s="145"/>
      <c r="Q81" s="161"/>
    </row>
    <row r="82" spans="2:19" x14ac:dyDescent="0.2">
      <c r="B82" s="59"/>
      <c r="C82" s="145" t="str">
        <f>C65</f>
        <v>Horses</v>
      </c>
      <c r="D82" s="146" t="s">
        <v>17</v>
      </c>
      <c r="E82" s="312"/>
      <c r="F82" s="312"/>
      <c r="G82" s="312"/>
      <c r="H82" s="312"/>
      <c r="I82" s="312"/>
      <c r="J82" s="312"/>
      <c r="K82" s="312"/>
      <c r="L82" s="312"/>
      <c r="M82" s="312"/>
      <c r="N82" s="312"/>
      <c r="O82" s="312"/>
      <c r="P82" s="312"/>
      <c r="Q82" s="161"/>
    </row>
    <row r="83" spans="2:19" x14ac:dyDescent="0.2">
      <c r="B83" s="59"/>
      <c r="C83" s="145" t="str">
        <f t="shared" ref="C83:C87" si="28">C66</f>
        <v>Other livestock</v>
      </c>
      <c r="D83" s="146" t="s">
        <v>17</v>
      </c>
      <c r="E83" s="312"/>
      <c r="F83" s="312"/>
      <c r="G83" s="312"/>
      <c r="H83" s="312"/>
      <c r="I83" s="312"/>
      <c r="J83" s="312"/>
      <c r="K83" s="312"/>
      <c r="L83" s="312"/>
      <c r="M83" s="312"/>
      <c r="N83" s="312"/>
      <c r="O83" s="312"/>
      <c r="P83" s="312"/>
      <c r="Q83" s="161"/>
    </row>
    <row r="84" spans="2:19" x14ac:dyDescent="0.2">
      <c r="B84" s="59"/>
      <c r="C84" s="145" t="str">
        <f t="shared" si="28"/>
        <v>Other livestock</v>
      </c>
      <c r="D84" s="146" t="s">
        <v>17</v>
      </c>
      <c r="E84" s="312"/>
      <c r="F84" s="312"/>
      <c r="G84" s="312"/>
      <c r="H84" s="312"/>
      <c r="I84" s="312"/>
      <c r="J84" s="312"/>
      <c r="K84" s="312"/>
      <c r="L84" s="312"/>
      <c r="M84" s="312"/>
      <c r="N84" s="312"/>
      <c r="O84" s="312"/>
      <c r="P84" s="312"/>
      <c r="Q84" s="161"/>
    </row>
    <row r="85" spans="2:19" x14ac:dyDescent="0.2">
      <c r="B85" s="59"/>
      <c r="C85" s="145" t="str">
        <f t="shared" si="28"/>
        <v>Other livestock</v>
      </c>
      <c r="D85" s="146" t="s">
        <v>17</v>
      </c>
      <c r="E85" s="312"/>
      <c r="F85" s="312"/>
      <c r="G85" s="312"/>
      <c r="H85" s="312"/>
      <c r="I85" s="312"/>
      <c r="J85" s="312"/>
      <c r="K85" s="312"/>
      <c r="L85" s="312"/>
      <c r="M85" s="312"/>
      <c r="N85" s="312"/>
      <c r="O85" s="312"/>
      <c r="P85" s="312"/>
      <c r="Q85" s="161"/>
    </row>
    <row r="86" spans="2:19" x14ac:dyDescent="0.2">
      <c r="B86" s="59"/>
      <c r="C86" s="145" t="str">
        <f t="shared" si="28"/>
        <v>Other livestock</v>
      </c>
      <c r="D86" s="146" t="s">
        <v>17</v>
      </c>
      <c r="E86" s="317"/>
      <c r="F86" s="317"/>
      <c r="G86" s="317"/>
      <c r="H86" s="317"/>
      <c r="I86" s="317"/>
      <c r="J86" s="317"/>
      <c r="K86" s="317"/>
      <c r="L86" s="317"/>
      <c r="M86" s="317"/>
      <c r="N86" s="317"/>
      <c r="O86" s="317"/>
      <c r="P86" s="317"/>
      <c r="Q86" s="161"/>
    </row>
    <row r="87" spans="2:19" x14ac:dyDescent="0.2">
      <c r="B87" s="59"/>
      <c r="C87" s="145" t="str">
        <f t="shared" si="28"/>
        <v>Other livestock</v>
      </c>
      <c r="D87" s="151" t="s">
        <v>17</v>
      </c>
      <c r="E87" s="313"/>
      <c r="F87" s="313"/>
      <c r="G87" s="313"/>
      <c r="H87" s="313"/>
      <c r="I87" s="313"/>
      <c r="J87" s="313"/>
      <c r="K87" s="313"/>
      <c r="L87" s="313"/>
      <c r="M87" s="313"/>
      <c r="N87" s="313"/>
      <c r="O87" s="313"/>
      <c r="P87" s="313"/>
      <c r="Q87" s="161"/>
    </row>
    <row r="88" spans="2:19" x14ac:dyDescent="0.2">
      <c r="B88" s="61" t="s">
        <v>25</v>
      </c>
      <c r="C88" s="55"/>
      <c r="D88" s="152" t="s">
        <v>24</v>
      </c>
      <c r="E88" s="314">
        <f t="shared" ref="E88:P88" si="29">(E56*E73+E57*E74+E58*E75+E59*E76+E60*E77+E61*E78+E62*E79+E63*E80+E65*E82+E66*E83+E67*E84+E68*E85+E69*E86+E70*E87)*E12</f>
        <v>806620</v>
      </c>
      <c r="F88" s="314">
        <f t="shared" si="29"/>
        <v>780600</v>
      </c>
      <c r="G88" s="314">
        <f t="shared" si="29"/>
        <v>797878</v>
      </c>
      <c r="H88" s="314">
        <f t="shared" si="29"/>
        <v>768045</v>
      </c>
      <c r="I88" s="314">
        <f>(I56*I73+I57*I74+I58*I75+I59*I76+I60*I77+I61*I78+I62*I79+I63*I80+I65*I82+I66*I83+I67*I84+I68*I85+I69*I86+I70*I87)*I12</f>
        <v>822098.29999999993</v>
      </c>
      <c r="J88" s="314">
        <f t="shared" si="29"/>
        <v>856037.1</v>
      </c>
      <c r="K88" s="314">
        <f t="shared" si="29"/>
        <v>828741</v>
      </c>
      <c r="L88" s="314">
        <f t="shared" si="29"/>
        <v>848460.70000000007</v>
      </c>
      <c r="M88" s="314">
        <f t="shared" si="29"/>
        <v>813441</v>
      </c>
      <c r="N88" s="314">
        <f t="shared" si="29"/>
        <v>832650.70000000007</v>
      </c>
      <c r="O88" s="314">
        <f t="shared" si="29"/>
        <v>824745.70000000007</v>
      </c>
      <c r="P88" s="314">
        <f t="shared" si="29"/>
        <v>737791.6</v>
      </c>
      <c r="Q88" s="153">
        <f>SUM(E88:P88)</f>
        <v>9717109.0999999996</v>
      </c>
    </row>
    <row r="89" spans="2:19" ht="13.5" thickBot="1" x14ac:dyDescent="0.25">
      <c r="B89" s="62"/>
      <c r="C89" s="63"/>
      <c r="D89" s="154" t="s">
        <v>21</v>
      </c>
      <c r="E89" s="315" t="e">
        <f>E88/$E12/E21</f>
        <v>#DIV/0!</v>
      </c>
      <c r="F89" s="315" t="e">
        <f>F88/$F12/F21</f>
        <v>#DIV/0!</v>
      </c>
      <c r="G89" s="315" t="e">
        <f>G88/$G12/G21</f>
        <v>#DIV/0!</v>
      </c>
      <c r="H89" s="315" t="e">
        <f>H88/$H12/H21</f>
        <v>#DIV/0!</v>
      </c>
      <c r="I89" s="315" t="e">
        <f>I88/$I12/I21</f>
        <v>#DIV/0!</v>
      </c>
      <c r="J89" s="315" t="e">
        <f>J88/$J12/J21</f>
        <v>#DIV/0!</v>
      </c>
      <c r="K89" s="315" t="e">
        <f>K88/$K12/K21</f>
        <v>#DIV/0!</v>
      </c>
      <c r="L89" s="315" t="e">
        <f>L88/$L12/L21</f>
        <v>#DIV/0!</v>
      </c>
      <c r="M89" s="315" t="e">
        <f>M88/$M12/M21</f>
        <v>#DIV/0!</v>
      </c>
      <c r="N89" s="315" t="e">
        <f>N88/$N12/N21</f>
        <v>#DIV/0!</v>
      </c>
      <c r="O89" s="315" t="e">
        <f>O88/$O12/O21</f>
        <v>#DIV/0!</v>
      </c>
      <c r="P89" s="315" t="e">
        <f>P88/$P12/P21</f>
        <v>#DIV/0!</v>
      </c>
      <c r="Q89" s="155" t="e">
        <f>Q88/Q21/Q12</f>
        <v>#DIV/0!</v>
      </c>
      <c r="R89" s="64"/>
      <c r="S89" s="64"/>
    </row>
    <row r="90" spans="2:19" ht="13.5" thickBot="1" x14ac:dyDescent="0.25">
      <c r="B90" s="65"/>
      <c r="C90" s="66"/>
      <c r="D90" s="66"/>
      <c r="E90" s="66"/>
      <c r="F90" s="66"/>
      <c r="G90" s="66"/>
      <c r="H90" s="67"/>
      <c r="I90" s="67"/>
      <c r="J90" s="67"/>
      <c r="K90" s="67"/>
      <c r="L90" s="67"/>
      <c r="M90" s="67"/>
      <c r="N90" s="67"/>
      <c r="O90" s="67"/>
      <c r="P90" s="67"/>
      <c r="Q90" s="67"/>
      <c r="R90" s="47"/>
      <c r="S90" s="47"/>
    </row>
    <row r="91" spans="2:19" ht="15.75" x14ac:dyDescent="0.25">
      <c r="B91" s="216" t="s">
        <v>85</v>
      </c>
      <c r="C91" s="217"/>
      <c r="D91" s="217"/>
      <c r="E91" s="217"/>
      <c r="F91" s="217"/>
      <c r="G91" s="217"/>
      <c r="H91" s="218"/>
      <c r="I91" s="218"/>
      <c r="J91" s="218"/>
      <c r="K91" s="218"/>
      <c r="L91" s="218"/>
      <c r="M91" s="218"/>
      <c r="N91" s="218"/>
      <c r="O91" s="218"/>
      <c r="P91" s="218"/>
      <c r="Q91" s="219"/>
      <c r="R91" s="47"/>
      <c r="S91" s="47"/>
    </row>
    <row r="92" spans="2:19" x14ac:dyDescent="0.2">
      <c r="B92" s="184" t="s">
        <v>1</v>
      </c>
      <c r="C92" s="185"/>
      <c r="D92" s="32"/>
      <c r="E92" s="526" t="str">
        <f t="shared" ref="E92:P92" si="30">E11</f>
        <v>Mar</v>
      </c>
      <c r="F92" s="526" t="str">
        <f t="shared" si="30"/>
        <v>Apr</v>
      </c>
      <c r="G92" s="526" t="str">
        <f t="shared" si="30"/>
        <v>May</v>
      </c>
      <c r="H92" s="526" t="str">
        <f t="shared" si="30"/>
        <v>Jun</v>
      </c>
      <c r="I92" s="526" t="str">
        <f t="shared" si="30"/>
        <v>Jul</v>
      </c>
      <c r="J92" s="526" t="str">
        <f t="shared" si="30"/>
        <v>Aug</v>
      </c>
      <c r="K92" s="526" t="str">
        <f t="shared" si="30"/>
        <v>Sep</v>
      </c>
      <c r="L92" s="526" t="str">
        <f t="shared" si="30"/>
        <v>Oct</v>
      </c>
      <c r="M92" s="526" t="str">
        <f t="shared" si="30"/>
        <v>Nov</v>
      </c>
      <c r="N92" s="526" t="str">
        <f t="shared" si="30"/>
        <v>Dec</v>
      </c>
      <c r="O92" s="526" t="str">
        <f t="shared" si="30"/>
        <v>Jan</v>
      </c>
      <c r="P92" s="526" t="str">
        <f t="shared" si="30"/>
        <v>Feb</v>
      </c>
      <c r="Q92" s="220"/>
      <c r="R92" s="64"/>
      <c r="S92" s="64"/>
    </row>
    <row r="93" spans="2:19" hidden="1" x14ac:dyDescent="0.2">
      <c r="B93" s="180" t="s">
        <v>29</v>
      </c>
      <c r="C93" s="166"/>
      <c r="D93" s="167"/>
      <c r="E93" s="166"/>
      <c r="F93" s="166"/>
      <c r="G93" s="166"/>
      <c r="H93" s="166"/>
      <c r="I93" s="166"/>
      <c r="J93" s="166"/>
      <c r="K93" s="166"/>
      <c r="L93" s="166"/>
      <c r="M93" s="166"/>
      <c r="N93" s="166"/>
      <c r="O93" s="166"/>
      <c r="P93" s="170"/>
      <c r="Q93" s="221"/>
    </row>
    <row r="94" spans="2:19" hidden="1" x14ac:dyDescent="0.2">
      <c r="B94" s="180"/>
      <c r="C94" s="166"/>
      <c r="D94" s="196" t="s">
        <v>24</v>
      </c>
      <c r="E94" s="194">
        <f>E51-E88</f>
        <v>-806620</v>
      </c>
      <c r="F94" s="186">
        <f t="shared" ref="F94:P94" si="31">F51-F88</f>
        <v>-780600</v>
      </c>
      <c r="G94" s="186">
        <f t="shared" si="31"/>
        <v>-797878</v>
      </c>
      <c r="H94" s="186">
        <f t="shared" si="31"/>
        <v>-768045</v>
      </c>
      <c r="I94" s="186">
        <f t="shared" si="31"/>
        <v>-822098.29999999993</v>
      </c>
      <c r="J94" s="186">
        <f t="shared" si="31"/>
        <v>-856037.1</v>
      </c>
      <c r="K94" s="186">
        <f t="shared" si="31"/>
        <v>-828741</v>
      </c>
      <c r="L94" s="186">
        <f t="shared" si="31"/>
        <v>-848460.70000000007</v>
      </c>
      <c r="M94" s="186">
        <f t="shared" si="31"/>
        <v>-813441</v>
      </c>
      <c r="N94" s="186">
        <f t="shared" si="31"/>
        <v>-832650.70000000007</v>
      </c>
      <c r="O94" s="186">
        <f t="shared" si="31"/>
        <v>-824745.70000000007</v>
      </c>
      <c r="P94" s="232">
        <f t="shared" si="31"/>
        <v>-737791.6</v>
      </c>
      <c r="Q94" s="222">
        <f>SUM(E94:P94)</f>
        <v>-9717109.0999999996</v>
      </c>
    </row>
    <row r="95" spans="2:19" hidden="1" x14ac:dyDescent="0.2">
      <c r="B95" s="181"/>
      <c r="C95" s="166"/>
      <c r="D95" s="197" t="s">
        <v>21</v>
      </c>
      <c r="E95" s="195" t="e">
        <f t="shared" ref="E95:Q95" si="32">E94/E21/E12</f>
        <v>#DIV/0!</v>
      </c>
      <c r="F95" s="187" t="e">
        <f t="shared" si="32"/>
        <v>#DIV/0!</v>
      </c>
      <c r="G95" s="187" t="e">
        <f t="shared" si="32"/>
        <v>#DIV/0!</v>
      </c>
      <c r="H95" s="187" t="e">
        <f t="shared" si="32"/>
        <v>#DIV/0!</v>
      </c>
      <c r="I95" s="187" t="e">
        <f t="shared" si="32"/>
        <v>#DIV/0!</v>
      </c>
      <c r="J95" s="187" t="e">
        <f t="shared" si="32"/>
        <v>#DIV/0!</v>
      </c>
      <c r="K95" s="187" t="e">
        <f t="shared" si="32"/>
        <v>#DIV/0!</v>
      </c>
      <c r="L95" s="187" t="e">
        <f t="shared" si="32"/>
        <v>#DIV/0!</v>
      </c>
      <c r="M95" s="187" t="e">
        <f t="shared" si="32"/>
        <v>#DIV/0!</v>
      </c>
      <c r="N95" s="187" t="e">
        <f t="shared" si="32"/>
        <v>#DIV/0!</v>
      </c>
      <c r="O95" s="187" t="e">
        <f t="shared" si="32"/>
        <v>#DIV/0!</v>
      </c>
      <c r="P95" s="233" t="e">
        <f t="shared" si="32"/>
        <v>#DIV/0!</v>
      </c>
      <c r="Q95" s="223" t="e">
        <f t="shared" si="32"/>
        <v>#DIV/0!</v>
      </c>
    </row>
    <row r="96" spans="2:19" hidden="1" x14ac:dyDescent="0.2">
      <c r="B96" s="182" t="s">
        <v>36</v>
      </c>
      <c r="C96" s="168"/>
      <c r="D96" s="169"/>
      <c r="E96" s="168"/>
      <c r="F96" s="168"/>
      <c r="G96" s="168"/>
      <c r="H96" s="168"/>
      <c r="I96" s="168"/>
      <c r="J96" s="168"/>
      <c r="K96" s="168"/>
      <c r="L96" s="168"/>
      <c r="M96" s="168"/>
      <c r="N96" s="168"/>
      <c r="O96" s="168"/>
      <c r="P96" s="234"/>
      <c r="Q96" s="224"/>
    </row>
    <row r="97" spans="2:17" hidden="1" x14ac:dyDescent="0.2">
      <c r="B97" s="193" t="s">
        <v>27</v>
      </c>
      <c r="C97" s="188"/>
      <c r="D97" s="190" t="s">
        <v>47</v>
      </c>
      <c r="E97" s="290">
        <v>1800</v>
      </c>
      <c r="F97" s="288" t="e">
        <f>E98</f>
        <v>#DIV/0!</v>
      </c>
      <c r="G97" s="288" t="e">
        <f t="shared" ref="G97:P97" si="33">F98</f>
        <v>#DIV/0!</v>
      </c>
      <c r="H97" s="288" t="e">
        <f t="shared" si="33"/>
        <v>#DIV/0!</v>
      </c>
      <c r="I97" s="288" t="e">
        <f t="shared" si="33"/>
        <v>#DIV/0!</v>
      </c>
      <c r="J97" s="288" t="e">
        <f t="shared" si="33"/>
        <v>#DIV/0!</v>
      </c>
      <c r="K97" s="288" t="e">
        <f t="shared" si="33"/>
        <v>#DIV/0!</v>
      </c>
      <c r="L97" s="288" t="e">
        <f t="shared" si="33"/>
        <v>#DIV/0!</v>
      </c>
      <c r="M97" s="288" t="e">
        <f t="shared" si="33"/>
        <v>#DIV/0!</v>
      </c>
      <c r="N97" s="288" t="e">
        <f t="shared" si="33"/>
        <v>#DIV/0!</v>
      </c>
      <c r="O97" s="288" t="e">
        <f t="shared" si="33"/>
        <v>#DIV/0!</v>
      </c>
      <c r="P97" s="514" t="e">
        <f t="shared" si="33"/>
        <v>#DIV/0!</v>
      </c>
      <c r="Q97" s="221"/>
    </row>
    <row r="98" spans="2:17" hidden="1" x14ac:dyDescent="0.2">
      <c r="B98" s="183" t="s">
        <v>32</v>
      </c>
      <c r="C98" s="191"/>
      <c r="D98" s="192" t="s">
        <v>47</v>
      </c>
      <c r="E98" s="515" t="e">
        <f t="shared" ref="E98:P98" si="34">E97+E94/E21</f>
        <v>#DIV/0!</v>
      </c>
      <c r="F98" s="516" t="e">
        <f t="shared" si="34"/>
        <v>#DIV/0!</v>
      </c>
      <c r="G98" s="516" t="e">
        <f t="shared" si="34"/>
        <v>#DIV/0!</v>
      </c>
      <c r="H98" s="516" t="e">
        <f t="shared" si="34"/>
        <v>#DIV/0!</v>
      </c>
      <c r="I98" s="516" t="e">
        <f t="shared" si="34"/>
        <v>#DIV/0!</v>
      </c>
      <c r="J98" s="516" t="e">
        <f t="shared" si="34"/>
        <v>#DIV/0!</v>
      </c>
      <c r="K98" s="516" t="e">
        <f t="shared" si="34"/>
        <v>#DIV/0!</v>
      </c>
      <c r="L98" s="516" t="e">
        <f t="shared" si="34"/>
        <v>#DIV/0!</v>
      </c>
      <c r="M98" s="516" t="e">
        <f t="shared" si="34"/>
        <v>#DIV/0!</v>
      </c>
      <c r="N98" s="516" t="e">
        <f t="shared" si="34"/>
        <v>#DIV/0!</v>
      </c>
      <c r="O98" s="516" t="e">
        <f t="shared" si="34"/>
        <v>#DIV/0!</v>
      </c>
      <c r="P98" s="517" t="e">
        <f t="shared" si="34"/>
        <v>#DIV/0!</v>
      </c>
      <c r="Q98" s="225"/>
    </row>
    <row r="99" spans="2:17" x14ac:dyDescent="0.2">
      <c r="B99" s="177" t="s">
        <v>31</v>
      </c>
      <c r="C99" s="171"/>
      <c r="D99" s="172"/>
      <c r="E99" s="171"/>
      <c r="F99" s="171"/>
      <c r="G99" s="171"/>
      <c r="H99" s="171"/>
      <c r="I99" s="171"/>
      <c r="J99" s="171"/>
      <c r="K99" s="171"/>
      <c r="L99" s="171"/>
      <c r="M99" s="171"/>
      <c r="N99" s="171"/>
      <c r="O99" s="171"/>
      <c r="P99" s="172"/>
      <c r="Q99" s="226"/>
    </row>
    <row r="100" spans="2:17" x14ac:dyDescent="0.2">
      <c r="B100" s="178"/>
      <c r="C100" s="171" t="s">
        <v>314</v>
      </c>
      <c r="D100" s="173" t="s">
        <v>24</v>
      </c>
      <c r="E100" s="174">
        <f>SUM('P1 Feeding'!D5:D7)</f>
        <v>287365.23076923081</v>
      </c>
      <c r="F100" s="174">
        <f>SUM('P1 Feeding'!E5:E7)</f>
        <v>299280</v>
      </c>
      <c r="G100" s="174">
        <f>SUM('P1 Feeding'!F5:F7)</f>
        <v>320149.40000000002</v>
      </c>
      <c r="H100" s="174">
        <f>SUM('P1 Feeding'!G5:G7)</f>
        <v>315001.5</v>
      </c>
      <c r="I100" s="174">
        <f>SUM('P1 Feeding'!H5:H7)</f>
        <v>351761.65</v>
      </c>
      <c r="J100" s="174">
        <f>SUM('P1 Feeding'!I5:I7)</f>
        <v>362357.45</v>
      </c>
      <c r="K100" s="174">
        <f>SUM('P1 Feeding'!J5:J7)</f>
        <v>345301.5</v>
      </c>
      <c r="L100" s="174">
        <f>SUM('P1 Feeding'!K5:K7)</f>
        <v>333831.25</v>
      </c>
      <c r="M100" s="174">
        <f>SUM('P1 Feeding'!L5:L7)</f>
        <v>319687.5</v>
      </c>
      <c r="N100" s="174">
        <f>SUM('P1 Feeding'!M5:M7)</f>
        <v>326856.25</v>
      </c>
      <c r="O100" s="174">
        <f>SUM('P1 Feeding'!N5:N7)</f>
        <v>323368.75</v>
      </c>
      <c r="P100" s="235">
        <f>SUM('P1 Feeding'!O5:O7)</f>
        <v>288925</v>
      </c>
      <c r="Q100" s="226">
        <f t="shared" ref="Q100:Q106" si="35">SUM(E100:P100)</f>
        <v>3873885.480769231</v>
      </c>
    </row>
    <row r="101" spans="2:17" x14ac:dyDescent="0.2">
      <c r="B101" s="178"/>
      <c r="C101" s="171" t="s">
        <v>476</v>
      </c>
      <c r="D101" s="173" t="s">
        <v>24</v>
      </c>
      <c r="E101" s="174">
        <f>SUM('P1 Feeding'!D8:D11)</f>
        <v>0</v>
      </c>
      <c r="F101" s="174">
        <f>SUM('P1 Feeding'!E8:E11)</f>
        <v>0</v>
      </c>
      <c r="G101" s="174">
        <f>SUM('P1 Feeding'!F8:F11)</f>
        <v>300000</v>
      </c>
      <c r="H101" s="174">
        <f>SUM('P1 Feeding'!G8:G11)</f>
        <v>175000</v>
      </c>
      <c r="I101" s="174">
        <f>SUM('P1 Feeding'!H8:H11)</f>
        <v>185000</v>
      </c>
      <c r="J101" s="174">
        <f>SUM('P1 Feeding'!I8:I11)</f>
        <v>80000</v>
      </c>
      <c r="K101" s="174">
        <f>SUM('P1 Feeding'!J8:J11)</f>
        <v>50000</v>
      </c>
      <c r="L101" s="174">
        <f>SUM('P1 Feeding'!K8:K11)</f>
        <v>50000</v>
      </c>
      <c r="M101" s="174">
        <f>SUM('P1 Feeding'!L8:L11)</f>
        <v>50000</v>
      </c>
      <c r="N101" s="174">
        <f>SUM('P1 Feeding'!M8:M11)</f>
        <v>50000</v>
      </c>
      <c r="O101" s="174">
        <f>SUM('P1 Feeding'!N8:N11)</f>
        <v>50000</v>
      </c>
      <c r="P101" s="235">
        <f>SUM('P1 Feeding'!O8:O11)</f>
        <v>50000</v>
      </c>
      <c r="Q101" s="226">
        <f t="shared" si="35"/>
        <v>1040000</v>
      </c>
    </row>
    <row r="102" spans="2:17" x14ac:dyDescent="0.2">
      <c r="B102" s="178"/>
      <c r="C102" s="171" t="s">
        <v>477</v>
      </c>
      <c r="D102" s="173" t="s">
        <v>24</v>
      </c>
      <c r="E102" s="174">
        <f>SUM('P1 Feeding'!D16:D22)</f>
        <v>0</v>
      </c>
      <c r="F102" s="174">
        <f>SUM('P1 Feeding'!E16:E22)</f>
        <v>0</v>
      </c>
      <c r="G102" s="174">
        <f>SUM('P1 Feeding'!F16:F22)</f>
        <v>0</v>
      </c>
      <c r="H102" s="174">
        <f>SUM('P1 Feeding'!G16:G22)</f>
        <v>0</v>
      </c>
      <c r="I102" s="174">
        <f>SUM('P1 Feeding'!H16:H22)</f>
        <v>0</v>
      </c>
      <c r="J102" s="174">
        <f>SUM('P1 Feeding'!I16:I22)</f>
        <v>0</v>
      </c>
      <c r="K102" s="174">
        <f>SUM('P1 Feeding'!J16:J22)</f>
        <v>0</v>
      </c>
      <c r="L102" s="174">
        <f>SUM('P1 Feeding'!K16:K22)</f>
        <v>-250000</v>
      </c>
      <c r="M102" s="174">
        <f>SUM('P1 Feeding'!L16:L22)</f>
        <v>-320000</v>
      </c>
      <c r="N102" s="174">
        <f>SUM('P1 Feeding'!M16:M22)</f>
        <v>0</v>
      </c>
      <c r="O102" s="174">
        <f>SUM('P1 Feeding'!N16:N22)</f>
        <v>0</v>
      </c>
      <c r="P102" s="235">
        <f>SUM('P1 Feeding'!O16:O22)</f>
        <v>0</v>
      </c>
      <c r="Q102" s="226">
        <f t="shared" si="35"/>
        <v>-570000</v>
      </c>
    </row>
    <row r="103" spans="2:17" x14ac:dyDescent="0.2">
      <c r="B103" s="178"/>
      <c r="C103" s="171" t="s">
        <v>493</v>
      </c>
      <c r="D103" s="173" t="s">
        <v>24</v>
      </c>
      <c r="E103" s="174">
        <f>SUM('P1 Feeding'!D12:D15)</f>
        <v>0</v>
      </c>
      <c r="F103" s="174">
        <f>SUM('P1 Feeding'!E12:E15)</f>
        <v>0</v>
      </c>
      <c r="G103" s="174">
        <f>SUM('P1 Feeding'!F12:F15)</f>
        <v>0</v>
      </c>
      <c r="H103" s="174">
        <f>SUM('P1 Feeding'!G12:G15)</f>
        <v>0</v>
      </c>
      <c r="I103" s="174">
        <f>SUM('P1 Feeding'!H12:H15)</f>
        <v>0</v>
      </c>
      <c r="J103" s="174">
        <f>SUM('P1 Feeding'!I12:I15)</f>
        <v>0</v>
      </c>
      <c r="K103" s="174">
        <f>SUM('P1 Feeding'!J12:J15)</f>
        <v>0</v>
      </c>
      <c r="L103" s="174">
        <f>SUM('P1 Feeding'!K12:K15)</f>
        <v>0</v>
      </c>
      <c r="M103" s="174">
        <f>SUM('P1 Feeding'!L12:L15)</f>
        <v>0</v>
      </c>
      <c r="N103" s="174">
        <f>SUM('P1 Feeding'!M12:M15)</f>
        <v>0</v>
      </c>
      <c r="O103" s="174">
        <f>SUM('P1 Feeding'!N12:N15)</f>
        <v>0</v>
      </c>
      <c r="P103" s="174">
        <f>SUM('P1 Feeding'!O12:O15)</f>
        <v>0</v>
      </c>
      <c r="Q103" s="226">
        <f t="shared" si="35"/>
        <v>0</v>
      </c>
    </row>
    <row r="104" spans="2:17" x14ac:dyDescent="0.2">
      <c r="B104" s="178"/>
      <c r="C104" s="171"/>
      <c r="D104" s="173" t="s">
        <v>24</v>
      </c>
      <c r="E104" s="174"/>
      <c r="F104" s="174"/>
      <c r="G104" s="174"/>
      <c r="H104" s="174"/>
      <c r="I104" s="174"/>
      <c r="J104" s="174"/>
      <c r="K104" s="174"/>
      <c r="L104" s="174"/>
      <c r="M104" s="174"/>
      <c r="N104" s="174"/>
      <c r="O104" s="174"/>
      <c r="P104" s="235"/>
      <c r="Q104" s="226">
        <f t="shared" si="35"/>
        <v>0</v>
      </c>
    </row>
    <row r="105" spans="2:17" x14ac:dyDescent="0.2">
      <c r="B105" s="178"/>
      <c r="C105" s="171"/>
      <c r="D105" s="173" t="s">
        <v>24</v>
      </c>
      <c r="E105" s="174"/>
      <c r="F105" s="174"/>
      <c r="G105" s="174"/>
      <c r="H105" s="174"/>
      <c r="I105" s="174"/>
      <c r="J105" s="174"/>
      <c r="K105" s="174"/>
      <c r="L105" s="174"/>
      <c r="M105" s="174"/>
      <c r="N105" s="174"/>
      <c r="O105" s="174"/>
      <c r="P105" s="235"/>
      <c r="Q105" s="226">
        <f t="shared" si="35"/>
        <v>0</v>
      </c>
    </row>
    <row r="106" spans="2:17" x14ac:dyDescent="0.2">
      <c r="B106" s="179"/>
      <c r="C106" s="175" t="s">
        <v>0</v>
      </c>
      <c r="D106" s="176"/>
      <c r="E106" s="520">
        <f>SUM(E100:E105)</f>
        <v>287365.23076923081</v>
      </c>
      <c r="F106" s="520">
        <f t="shared" ref="F106:P106" si="36">SUM(F100:F105)</f>
        <v>299280</v>
      </c>
      <c r="G106" s="520">
        <f t="shared" si="36"/>
        <v>620149.4</v>
      </c>
      <c r="H106" s="520">
        <f t="shared" si="36"/>
        <v>490001.5</v>
      </c>
      <c r="I106" s="520">
        <f t="shared" si="36"/>
        <v>536761.65</v>
      </c>
      <c r="J106" s="520">
        <f t="shared" si="36"/>
        <v>442357.45</v>
      </c>
      <c r="K106" s="520">
        <f t="shared" si="36"/>
        <v>395301.5</v>
      </c>
      <c r="L106" s="520">
        <f t="shared" si="36"/>
        <v>133831.25</v>
      </c>
      <c r="M106" s="520">
        <f t="shared" si="36"/>
        <v>49687.5</v>
      </c>
      <c r="N106" s="520">
        <f t="shared" si="36"/>
        <v>376856.25</v>
      </c>
      <c r="O106" s="520">
        <f t="shared" si="36"/>
        <v>373368.75</v>
      </c>
      <c r="P106" s="521">
        <f t="shared" si="36"/>
        <v>338925</v>
      </c>
      <c r="Q106" s="522">
        <f t="shared" si="35"/>
        <v>4343885.480769231</v>
      </c>
    </row>
    <row r="107" spans="2:17" x14ac:dyDescent="0.2">
      <c r="B107" s="198" t="s">
        <v>30</v>
      </c>
      <c r="C107" s="199"/>
      <c r="D107" s="200"/>
      <c r="E107" s="199"/>
      <c r="F107" s="199"/>
      <c r="G107" s="199"/>
      <c r="H107" s="199"/>
      <c r="I107" s="199"/>
      <c r="J107" s="199"/>
      <c r="K107" s="199"/>
      <c r="L107" s="199"/>
      <c r="M107" s="199"/>
      <c r="N107" s="199"/>
      <c r="O107" s="199"/>
      <c r="P107" s="200"/>
      <c r="Q107" s="227"/>
    </row>
    <row r="108" spans="2:17" x14ac:dyDescent="0.2">
      <c r="B108" s="201"/>
      <c r="C108" s="199"/>
      <c r="D108" s="202" t="s">
        <v>24</v>
      </c>
      <c r="E108" s="203">
        <f>E51+E106-E88</f>
        <v>-519254.76923076919</v>
      </c>
      <c r="F108" s="204">
        <f t="shared" ref="F108:Q108" si="37">F51+F106-F88</f>
        <v>-481320</v>
      </c>
      <c r="G108" s="204">
        <f t="shared" si="37"/>
        <v>-177728.59999999998</v>
      </c>
      <c r="H108" s="204">
        <f t="shared" si="37"/>
        <v>-278043.5</v>
      </c>
      <c r="I108" s="204">
        <f t="shared" si="37"/>
        <v>-285336.64999999991</v>
      </c>
      <c r="J108" s="204">
        <f t="shared" si="37"/>
        <v>-413679.64999999997</v>
      </c>
      <c r="K108" s="204">
        <f t="shared" si="37"/>
        <v>-433439.5</v>
      </c>
      <c r="L108" s="204">
        <f t="shared" si="37"/>
        <v>-714629.45000000007</v>
      </c>
      <c r="M108" s="204">
        <f t="shared" si="37"/>
        <v>-763753.5</v>
      </c>
      <c r="N108" s="204">
        <f t="shared" si="37"/>
        <v>-455794.45000000007</v>
      </c>
      <c r="O108" s="204">
        <f t="shared" si="37"/>
        <v>-451376.95000000007</v>
      </c>
      <c r="P108" s="212">
        <f t="shared" si="37"/>
        <v>-398866.6</v>
      </c>
      <c r="Q108" s="228">
        <f t="shared" si="37"/>
        <v>-5373223.6192307686</v>
      </c>
    </row>
    <row r="109" spans="2:17" x14ac:dyDescent="0.2">
      <c r="B109" s="201"/>
      <c r="C109" s="199"/>
      <c r="D109" s="205" t="s">
        <v>21</v>
      </c>
      <c r="E109" s="206" t="e">
        <f t="shared" ref="E109:Q109" si="38">E108/E21/E12</f>
        <v>#DIV/0!</v>
      </c>
      <c r="F109" s="207" t="e">
        <f t="shared" si="38"/>
        <v>#DIV/0!</v>
      </c>
      <c r="G109" s="207" t="e">
        <f t="shared" si="38"/>
        <v>#DIV/0!</v>
      </c>
      <c r="H109" s="207" t="e">
        <f t="shared" si="38"/>
        <v>#DIV/0!</v>
      </c>
      <c r="I109" s="207" t="e">
        <f t="shared" si="38"/>
        <v>#DIV/0!</v>
      </c>
      <c r="J109" s="207" t="e">
        <f t="shared" si="38"/>
        <v>#DIV/0!</v>
      </c>
      <c r="K109" s="207" t="e">
        <f t="shared" si="38"/>
        <v>#DIV/0!</v>
      </c>
      <c r="L109" s="207" t="e">
        <f t="shared" si="38"/>
        <v>#DIV/0!</v>
      </c>
      <c r="M109" s="207" t="e">
        <f t="shared" si="38"/>
        <v>#DIV/0!</v>
      </c>
      <c r="N109" s="207" t="e">
        <f t="shared" si="38"/>
        <v>#DIV/0!</v>
      </c>
      <c r="O109" s="207" t="e">
        <f t="shared" si="38"/>
        <v>#DIV/0!</v>
      </c>
      <c r="P109" s="236" t="e">
        <f t="shared" si="38"/>
        <v>#DIV/0!</v>
      </c>
      <c r="Q109" s="229" t="e">
        <f t="shared" si="38"/>
        <v>#DIV/0!</v>
      </c>
    </row>
    <row r="110" spans="2:17" x14ac:dyDescent="0.2">
      <c r="B110" s="208" t="s">
        <v>37</v>
      </c>
      <c r="C110" s="209"/>
      <c r="D110" s="210"/>
      <c r="E110" s="209"/>
      <c r="F110" s="209"/>
      <c r="G110" s="209"/>
      <c r="H110" s="209"/>
      <c r="I110" s="209"/>
      <c r="J110" s="209"/>
      <c r="K110" s="209"/>
      <c r="L110" s="209"/>
      <c r="M110" s="209"/>
      <c r="N110" s="209"/>
      <c r="O110" s="209"/>
      <c r="P110" s="237"/>
      <c r="Q110" s="230"/>
    </row>
    <row r="111" spans="2:17" x14ac:dyDescent="0.2">
      <c r="B111" s="211" t="s">
        <v>27</v>
      </c>
      <c r="C111" s="204"/>
      <c r="D111" s="212" t="s">
        <v>21</v>
      </c>
      <c r="E111" s="290">
        <v>2200</v>
      </c>
      <c r="F111" s="288" t="e">
        <f>E112</f>
        <v>#DIV/0!</v>
      </c>
      <c r="G111" s="288" t="e">
        <f t="shared" ref="G111:P111" si="39">F112</f>
        <v>#DIV/0!</v>
      </c>
      <c r="H111" s="288" t="e">
        <f t="shared" si="39"/>
        <v>#DIV/0!</v>
      </c>
      <c r="I111" s="288" t="e">
        <f t="shared" si="39"/>
        <v>#DIV/0!</v>
      </c>
      <c r="J111" s="288" t="e">
        <f t="shared" si="39"/>
        <v>#DIV/0!</v>
      </c>
      <c r="K111" s="288" t="e">
        <f t="shared" si="39"/>
        <v>#DIV/0!</v>
      </c>
      <c r="L111" s="288" t="e">
        <f t="shared" si="39"/>
        <v>#DIV/0!</v>
      </c>
      <c r="M111" s="288" t="e">
        <f t="shared" si="39"/>
        <v>#DIV/0!</v>
      </c>
      <c r="N111" s="288" t="e">
        <f t="shared" si="39"/>
        <v>#DIV/0!</v>
      </c>
      <c r="O111" s="288" t="e">
        <f t="shared" si="39"/>
        <v>#DIV/0!</v>
      </c>
      <c r="P111" s="514" t="e">
        <f t="shared" si="39"/>
        <v>#DIV/0!</v>
      </c>
      <c r="Q111" s="227"/>
    </row>
    <row r="112" spans="2:17" ht="13.5" thickBot="1" x14ac:dyDescent="0.25">
      <c r="B112" s="213" t="s">
        <v>32</v>
      </c>
      <c r="C112" s="214"/>
      <c r="D112" s="215" t="s">
        <v>21</v>
      </c>
      <c r="E112" s="518" t="e">
        <f t="shared" ref="E112:P112" si="40">E111+(E108/E21)</f>
        <v>#DIV/0!</v>
      </c>
      <c r="F112" s="303" t="e">
        <f t="shared" si="40"/>
        <v>#DIV/0!</v>
      </c>
      <c r="G112" s="303" t="e">
        <f t="shared" si="40"/>
        <v>#DIV/0!</v>
      </c>
      <c r="H112" s="303" t="e">
        <f t="shared" si="40"/>
        <v>#DIV/0!</v>
      </c>
      <c r="I112" s="303" t="e">
        <f t="shared" si="40"/>
        <v>#DIV/0!</v>
      </c>
      <c r="J112" s="303" t="e">
        <f t="shared" si="40"/>
        <v>#DIV/0!</v>
      </c>
      <c r="K112" s="303" t="e">
        <f t="shared" si="40"/>
        <v>#DIV/0!</v>
      </c>
      <c r="L112" s="303" t="e">
        <f t="shared" si="40"/>
        <v>#DIV/0!</v>
      </c>
      <c r="M112" s="303" t="e">
        <f t="shared" si="40"/>
        <v>#DIV/0!</v>
      </c>
      <c r="N112" s="303" t="e">
        <f t="shared" si="40"/>
        <v>#DIV/0!</v>
      </c>
      <c r="O112" s="303" t="e">
        <f t="shared" si="40"/>
        <v>#DIV/0!</v>
      </c>
      <c r="P112" s="519" t="e">
        <f t="shared" si="40"/>
        <v>#DIV/0!</v>
      </c>
      <c r="Q112" s="231"/>
    </row>
  </sheetData>
  <mergeCells count="2">
    <mergeCell ref="B1:Q1"/>
    <mergeCell ref="B2:C2"/>
  </mergeCells>
  <hyperlinks>
    <hyperlink ref="B2" location="Instructions!A30" display="Instructions" xr:uid="{00000000-0004-0000-0300-000000000000}"/>
  </hyperlinks>
  <printOptions horizontalCentered="1"/>
  <pageMargins left="0.15748031496062992" right="0.15748031496062992" top="0.51181102362204722" bottom="0" header="0.51181102362204722" footer="0.19685039370078741"/>
  <pageSetup paperSize="9" scale="90"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L145"/>
  <sheetViews>
    <sheetView showGridLines="0" zoomScaleNormal="100" workbookViewId="0">
      <pane xSplit="1" topLeftCell="B1" activePane="topRight" state="frozen"/>
      <selection activeCell="A55" sqref="A55"/>
      <selection pane="topRight" activeCell="E15" sqref="E15"/>
    </sheetView>
  </sheetViews>
  <sheetFormatPr defaultColWidth="9.33203125" defaultRowHeight="12.75" x14ac:dyDescent="0.2"/>
  <cols>
    <col min="1" max="1" width="22.83203125" style="2" customWidth="1"/>
    <col min="2" max="2" width="16.33203125" style="2" customWidth="1"/>
    <col min="3" max="15" width="10.33203125" style="2" customWidth="1"/>
    <col min="16" max="17" width="3" style="2" customWidth="1"/>
    <col min="18" max="18" width="24.33203125" style="2" customWidth="1"/>
    <col min="19" max="19" width="13.1640625" style="2" bestFit="1" customWidth="1"/>
    <col min="20" max="16384" width="9.33203125" style="2"/>
  </cols>
  <sheetData>
    <row r="1" spans="1:14" ht="18.75" x14ac:dyDescent="0.3">
      <c r="A1" s="836" t="s">
        <v>284</v>
      </c>
      <c r="B1" s="836"/>
      <c r="C1" s="836"/>
      <c r="D1" s="836"/>
      <c r="E1" s="836"/>
      <c r="F1" s="836"/>
      <c r="G1" s="836"/>
      <c r="H1" s="836"/>
      <c r="I1" s="836"/>
      <c r="J1" s="836"/>
      <c r="K1" s="836"/>
      <c r="L1" s="836"/>
      <c r="M1" s="836"/>
      <c r="N1" s="836"/>
    </row>
    <row r="3" spans="1:14" ht="15.75" x14ac:dyDescent="0.25">
      <c r="A3" s="284" t="s">
        <v>175</v>
      </c>
    </row>
    <row r="5" spans="1:14" ht="15.75" x14ac:dyDescent="0.25">
      <c r="A5" s="16"/>
    </row>
    <row r="6" spans="1:14" ht="16.5" thickBot="1" x14ac:dyDescent="0.3">
      <c r="A6" s="551" t="s">
        <v>360</v>
      </c>
      <c r="C6" s="370"/>
    </row>
    <row r="7" spans="1:14" x14ac:dyDescent="0.2">
      <c r="A7" s="19" t="s">
        <v>315</v>
      </c>
      <c r="B7" s="550"/>
      <c r="C7" s="19" t="str">
        <f>Summary!D5</f>
        <v>Mar</v>
      </c>
      <c r="D7" s="19" t="str">
        <f>Summary!E5</f>
        <v>Apr</v>
      </c>
      <c r="E7" s="19" t="str">
        <f>Summary!F5</f>
        <v>May</v>
      </c>
      <c r="F7" s="19" t="str">
        <f>Summary!G5</f>
        <v>Jun</v>
      </c>
      <c r="G7" s="19" t="str">
        <f>Summary!H5</f>
        <v>Jul</v>
      </c>
      <c r="H7" s="19" t="str">
        <f>Summary!I5</f>
        <v>Aug</v>
      </c>
      <c r="I7" s="19" t="str">
        <f>Summary!J5</f>
        <v>Sep</v>
      </c>
      <c r="J7" s="19" t="str">
        <f>Summary!K5</f>
        <v>Oct</v>
      </c>
      <c r="K7" s="19" t="str">
        <f>Summary!L5</f>
        <v>Nov</v>
      </c>
      <c r="L7" s="19" t="str">
        <f>Summary!M5</f>
        <v>Dec</v>
      </c>
      <c r="M7" s="19" t="str">
        <f>Summary!N5</f>
        <v>Jan</v>
      </c>
      <c r="N7" s="19" t="str">
        <f>Summary!O5</f>
        <v>Feb</v>
      </c>
    </row>
    <row r="8" spans="1:14" x14ac:dyDescent="0.2">
      <c r="A8" s="242" t="s">
        <v>464</v>
      </c>
      <c r="B8" s="243" t="s">
        <v>40</v>
      </c>
      <c r="C8" s="640">
        <f>'P1 Feeding'!D8</f>
        <v>0</v>
      </c>
      <c r="D8" s="640">
        <f>'P1 Feeding'!E8</f>
        <v>0</v>
      </c>
      <c r="E8" s="640">
        <f>'P1 Feeding'!F8</f>
        <v>150000</v>
      </c>
      <c r="F8" s="640">
        <f>'P1 Feeding'!G8</f>
        <v>75000</v>
      </c>
      <c r="G8" s="640">
        <f>'P1 Feeding'!H8</f>
        <v>75000</v>
      </c>
      <c r="H8" s="640">
        <f>'P1 Feeding'!I8</f>
        <v>30000</v>
      </c>
      <c r="I8" s="640">
        <f>'P1 Feeding'!J8</f>
        <v>0</v>
      </c>
      <c r="J8" s="640">
        <f>'P1 Feeding'!K8</f>
        <v>0</v>
      </c>
      <c r="K8" s="640">
        <f>'P1 Feeding'!L8</f>
        <v>0</v>
      </c>
      <c r="L8" s="640">
        <f>'P1 Feeding'!M8</f>
        <v>0</v>
      </c>
      <c r="M8" s="640">
        <f>'P1 Feeding'!N8</f>
        <v>0</v>
      </c>
      <c r="N8" s="640">
        <f>'P1 Feeding'!O8</f>
        <v>0</v>
      </c>
    </row>
    <row r="9" spans="1:14" x14ac:dyDescent="0.2">
      <c r="A9" s="244" t="s">
        <v>461</v>
      </c>
      <c r="B9" s="245" t="s">
        <v>462</v>
      </c>
      <c r="C9" s="309">
        <v>0.85</v>
      </c>
      <c r="D9" s="641">
        <f>C9</f>
        <v>0.85</v>
      </c>
      <c r="E9" s="641">
        <f t="shared" ref="E9:N9" si="0">D9</f>
        <v>0.85</v>
      </c>
      <c r="F9" s="641">
        <f t="shared" si="0"/>
        <v>0.85</v>
      </c>
      <c r="G9" s="641">
        <f t="shared" si="0"/>
        <v>0.85</v>
      </c>
      <c r="H9" s="641">
        <f t="shared" si="0"/>
        <v>0.85</v>
      </c>
      <c r="I9" s="641">
        <f t="shared" si="0"/>
        <v>0.85</v>
      </c>
      <c r="J9" s="641">
        <f t="shared" si="0"/>
        <v>0.85</v>
      </c>
      <c r="K9" s="641">
        <f t="shared" si="0"/>
        <v>0.85</v>
      </c>
      <c r="L9" s="641">
        <f t="shared" si="0"/>
        <v>0.85</v>
      </c>
      <c r="M9" s="641">
        <f t="shared" si="0"/>
        <v>0.85</v>
      </c>
      <c r="N9" s="641">
        <f t="shared" si="0"/>
        <v>0.85</v>
      </c>
    </row>
    <row r="10" spans="1:14" x14ac:dyDescent="0.2">
      <c r="A10" s="244" t="s">
        <v>463</v>
      </c>
      <c r="B10" s="245" t="s">
        <v>41</v>
      </c>
      <c r="C10" s="309">
        <v>0.95</v>
      </c>
      <c r="D10" s="641">
        <f t="shared" ref="D10:N10" si="1">C10</f>
        <v>0.95</v>
      </c>
      <c r="E10" s="641">
        <f t="shared" si="1"/>
        <v>0.95</v>
      </c>
      <c r="F10" s="641">
        <f t="shared" si="1"/>
        <v>0.95</v>
      </c>
      <c r="G10" s="641">
        <f t="shared" si="1"/>
        <v>0.95</v>
      </c>
      <c r="H10" s="641">
        <f t="shared" si="1"/>
        <v>0.95</v>
      </c>
      <c r="I10" s="641">
        <f t="shared" si="1"/>
        <v>0.95</v>
      </c>
      <c r="J10" s="641">
        <f t="shared" si="1"/>
        <v>0.95</v>
      </c>
      <c r="K10" s="641">
        <f t="shared" si="1"/>
        <v>0.95</v>
      </c>
      <c r="L10" s="641">
        <f t="shared" si="1"/>
        <v>0.95</v>
      </c>
      <c r="M10" s="641">
        <f t="shared" si="1"/>
        <v>0.95</v>
      </c>
      <c r="N10" s="641">
        <f t="shared" si="1"/>
        <v>0.95</v>
      </c>
    </row>
    <row r="11" spans="1:14" x14ac:dyDescent="0.2">
      <c r="A11" s="244" t="s">
        <v>465</v>
      </c>
      <c r="B11" s="245" t="s">
        <v>40</v>
      </c>
      <c r="C11" s="642">
        <f>C8/C9/C10</f>
        <v>0</v>
      </c>
      <c r="D11" s="642">
        <f t="shared" ref="D11:N11" si="2">D8/D9/D10</f>
        <v>0</v>
      </c>
      <c r="E11" s="642">
        <f t="shared" si="2"/>
        <v>185758.51393188856</v>
      </c>
      <c r="F11" s="642">
        <f t="shared" si="2"/>
        <v>92879.256965944282</v>
      </c>
      <c r="G11" s="642">
        <f t="shared" si="2"/>
        <v>92879.256965944282</v>
      </c>
      <c r="H11" s="642">
        <f t="shared" si="2"/>
        <v>37151.702786377711</v>
      </c>
      <c r="I11" s="642">
        <f t="shared" si="2"/>
        <v>0</v>
      </c>
      <c r="J11" s="642">
        <f t="shared" si="2"/>
        <v>0</v>
      </c>
      <c r="K11" s="642">
        <f t="shared" si="2"/>
        <v>0</v>
      </c>
      <c r="L11" s="642">
        <f t="shared" si="2"/>
        <v>0</v>
      </c>
      <c r="M11" s="642">
        <f t="shared" si="2"/>
        <v>0</v>
      </c>
      <c r="N11" s="642">
        <f t="shared" si="2"/>
        <v>0</v>
      </c>
    </row>
    <row r="12" spans="1:14" x14ac:dyDescent="0.2">
      <c r="A12" s="244" t="s">
        <v>466</v>
      </c>
      <c r="B12" s="643">
        <v>0</v>
      </c>
      <c r="C12" s="642">
        <f>B12-C11</f>
        <v>0</v>
      </c>
      <c r="D12" s="642">
        <f>C12+C13-D11</f>
        <v>0</v>
      </c>
      <c r="E12" s="642">
        <f t="shared" ref="E12:N12" si="3">D12+D13-E11</f>
        <v>-185758.51393188856</v>
      </c>
      <c r="F12" s="642">
        <f t="shared" si="3"/>
        <v>-92879.256965944282</v>
      </c>
      <c r="G12" s="642">
        <f t="shared" si="3"/>
        <v>-92879.256965944282</v>
      </c>
      <c r="H12" s="642">
        <f t="shared" si="3"/>
        <v>-37151.702786377711</v>
      </c>
      <c r="I12" s="642">
        <f t="shared" si="3"/>
        <v>0</v>
      </c>
      <c r="J12" s="642">
        <f t="shared" si="3"/>
        <v>0</v>
      </c>
      <c r="K12" s="642">
        <f t="shared" si="3"/>
        <v>0</v>
      </c>
      <c r="L12" s="642">
        <f t="shared" si="3"/>
        <v>0</v>
      </c>
      <c r="M12" s="642">
        <f t="shared" si="3"/>
        <v>0</v>
      </c>
      <c r="N12" s="642">
        <f t="shared" si="3"/>
        <v>0</v>
      </c>
    </row>
    <row r="13" spans="1:14" x14ac:dyDescent="0.2">
      <c r="A13" s="244" t="s">
        <v>467</v>
      </c>
      <c r="B13" s="245" t="s">
        <v>40</v>
      </c>
      <c r="C13" s="289"/>
      <c r="D13" s="289"/>
      <c r="E13" s="289">
        <f>E11</f>
        <v>185758.51393188856</v>
      </c>
      <c r="F13" s="289">
        <f t="shared" ref="F13:N13" si="4">F11</f>
        <v>92879.256965944282</v>
      </c>
      <c r="G13" s="289">
        <f t="shared" si="4"/>
        <v>92879.256965944282</v>
      </c>
      <c r="H13" s="289">
        <f t="shared" si="4"/>
        <v>37151.702786377711</v>
      </c>
      <c r="I13" s="289">
        <f t="shared" si="4"/>
        <v>0</v>
      </c>
      <c r="J13" s="289">
        <f t="shared" si="4"/>
        <v>0</v>
      </c>
      <c r="K13" s="289">
        <f t="shared" si="4"/>
        <v>0</v>
      </c>
      <c r="L13" s="289">
        <f t="shared" si="4"/>
        <v>0</v>
      </c>
      <c r="M13" s="289">
        <f t="shared" si="4"/>
        <v>0</v>
      </c>
      <c r="N13" s="289">
        <f t="shared" si="4"/>
        <v>0</v>
      </c>
    </row>
    <row r="14" spans="1:14" x14ac:dyDescent="0.2">
      <c r="A14" s="244" t="s">
        <v>315</v>
      </c>
      <c r="B14" s="245" t="s">
        <v>411</v>
      </c>
      <c r="C14" s="639"/>
      <c r="D14" s="639">
        <f>C14</f>
        <v>0</v>
      </c>
      <c r="E14" s="639">
        <v>3.6</v>
      </c>
      <c r="F14" s="639">
        <f t="shared" ref="F14:N14" si="5">E14</f>
        <v>3.6</v>
      </c>
      <c r="G14" s="639">
        <f t="shared" si="5"/>
        <v>3.6</v>
      </c>
      <c r="H14" s="639">
        <f t="shared" si="5"/>
        <v>3.6</v>
      </c>
      <c r="I14" s="639">
        <v>3</v>
      </c>
      <c r="J14" s="639">
        <f t="shared" si="5"/>
        <v>3</v>
      </c>
      <c r="K14" s="639">
        <f t="shared" si="5"/>
        <v>3</v>
      </c>
      <c r="L14" s="639">
        <f t="shared" si="5"/>
        <v>3</v>
      </c>
      <c r="M14" s="639">
        <f t="shared" si="5"/>
        <v>3</v>
      </c>
      <c r="N14" s="639">
        <f t="shared" si="5"/>
        <v>3</v>
      </c>
    </row>
    <row r="15" spans="1:14" ht="13.5" thickBot="1" x14ac:dyDescent="0.25">
      <c r="A15" s="248" t="s">
        <v>411</v>
      </c>
      <c r="B15" s="248"/>
      <c r="C15" s="248">
        <f>C13*C14</f>
        <v>0</v>
      </c>
      <c r="D15" s="248">
        <f t="shared" ref="D15:N15" si="6">D13*D14</f>
        <v>0</v>
      </c>
      <c r="E15" s="248">
        <f t="shared" si="6"/>
        <v>668730.65015479887</v>
      </c>
      <c r="F15" s="248">
        <f t="shared" si="6"/>
        <v>334365.32507739944</v>
      </c>
      <c r="G15" s="248">
        <f t="shared" si="6"/>
        <v>334365.32507739944</v>
      </c>
      <c r="H15" s="248">
        <f t="shared" si="6"/>
        <v>133746.13003095976</v>
      </c>
      <c r="I15" s="248">
        <f t="shared" si="6"/>
        <v>0</v>
      </c>
      <c r="J15" s="248">
        <f t="shared" si="6"/>
        <v>0</v>
      </c>
      <c r="K15" s="248">
        <f t="shared" si="6"/>
        <v>0</v>
      </c>
      <c r="L15" s="248">
        <f t="shared" si="6"/>
        <v>0</v>
      </c>
      <c r="M15" s="248">
        <f t="shared" si="6"/>
        <v>0</v>
      </c>
      <c r="N15" s="248">
        <f t="shared" si="6"/>
        <v>0</v>
      </c>
    </row>
    <row r="17" spans="1:31" ht="13.5" customHeight="1" thickBot="1" x14ac:dyDescent="0.3">
      <c r="A17" s="551" t="s">
        <v>577</v>
      </c>
    </row>
    <row r="18" spans="1:31" ht="13.5" customHeight="1" x14ac:dyDescent="0.2">
      <c r="A18" s="19" t="s">
        <v>315</v>
      </c>
      <c r="B18" s="550"/>
      <c r="C18" s="19" t="str">
        <f>C7</f>
        <v>Mar</v>
      </c>
      <c r="D18" s="19" t="str">
        <f t="shared" ref="D18:N18" si="7">D7</f>
        <v>Apr</v>
      </c>
      <c r="E18" s="19" t="str">
        <f t="shared" si="7"/>
        <v>May</v>
      </c>
      <c r="F18" s="19" t="str">
        <f t="shared" si="7"/>
        <v>Jun</v>
      </c>
      <c r="G18" s="19" t="str">
        <f t="shared" si="7"/>
        <v>Jul</v>
      </c>
      <c r="H18" s="19" t="str">
        <f t="shared" si="7"/>
        <v>Aug</v>
      </c>
      <c r="I18" s="19" t="str">
        <f t="shared" si="7"/>
        <v>Sep</v>
      </c>
      <c r="J18" s="19" t="str">
        <f t="shared" si="7"/>
        <v>Oct</v>
      </c>
      <c r="K18" s="19" t="str">
        <f t="shared" si="7"/>
        <v>Nov</v>
      </c>
      <c r="L18" s="19" t="str">
        <f t="shared" si="7"/>
        <v>Dec</v>
      </c>
      <c r="M18" s="19" t="str">
        <f t="shared" si="7"/>
        <v>Jan</v>
      </c>
      <c r="N18" s="19" t="str">
        <f t="shared" si="7"/>
        <v>Feb</v>
      </c>
    </row>
    <row r="19" spans="1:31" ht="13.5" customHeight="1" x14ac:dyDescent="0.2">
      <c r="A19" s="242" t="s">
        <v>464</v>
      </c>
      <c r="B19" s="243" t="s">
        <v>40</v>
      </c>
      <c r="C19" s="640">
        <f>'P1 Feeding'!D9</f>
        <v>0</v>
      </c>
      <c r="D19" s="640">
        <f>'P1 Feeding'!E9</f>
        <v>0</v>
      </c>
      <c r="E19" s="640">
        <f>'P1 Feeding'!F9</f>
        <v>50000</v>
      </c>
      <c r="F19" s="640">
        <f>'P1 Feeding'!G9</f>
        <v>50000</v>
      </c>
      <c r="G19" s="640">
        <f>'P1 Feeding'!H9</f>
        <v>50000</v>
      </c>
      <c r="H19" s="640">
        <f>'P1 Feeding'!I9</f>
        <v>50000</v>
      </c>
      <c r="I19" s="640">
        <f>'P1 Feeding'!J9</f>
        <v>50000</v>
      </c>
      <c r="J19" s="640">
        <f>'P1 Feeding'!K9</f>
        <v>50000</v>
      </c>
      <c r="K19" s="640">
        <f>'P1 Feeding'!L9</f>
        <v>50000</v>
      </c>
      <c r="L19" s="640">
        <f>'P1 Feeding'!M9</f>
        <v>50000</v>
      </c>
      <c r="M19" s="640">
        <f>'P1 Feeding'!N9</f>
        <v>50000</v>
      </c>
      <c r="N19" s="640">
        <f>'P1 Feeding'!O9</f>
        <v>50000</v>
      </c>
    </row>
    <row r="20" spans="1:31" ht="13.5" customHeight="1" x14ac:dyDescent="0.2">
      <c r="A20" s="244" t="s">
        <v>461</v>
      </c>
      <c r="B20" s="245" t="s">
        <v>462</v>
      </c>
      <c r="C20" s="309">
        <v>0.85</v>
      </c>
      <c r="D20" s="641">
        <f>C20</f>
        <v>0.85</v>
      </c>
      <c r="E20" s="641">
        <f t="shared" ref="E20:N20" si="8">D20</f>
        <v>0.85</v>
      </c>
      <c r="F20" s="641">
        <f t="shared" si="8"/>
        <v>0.85</v>
      </c>
      <c r="G20" s="641">
        <f t="shared" si="8"/>
        <v>0.85</v>
      </c>
      <c r="H20" s="641">
        <f t="shared" si="8"/>
        <v>0.85</v>
      </c>
      <c r="I20" s="641">
        <f t="shared" si="8"/>
        <v>0.85</v>
      </c>
      <c r="J20" s="641">
        <f t="shared" si="8"/>
        <v>0.85</v>
      </c>
      <c r="K20" s="641">
        <f t="shared" si="8"/>
        <v>0.85</v>
      </c>
      <c r="L20" s="641">
        <f t="shared" si="8"/>
        <v>0.85</v>
      </c>
      <c r="M20" s="641">
        <f t="shared" si="8"/>
        <v>0.85</v>
      </c>
      <c r="N20" s="641">
        <f t="shared" si="8"/>
        <v>0.85</v>
      </c>
    </row>
    <row r="21" spans="1:31" ht="13.5" customHeight="1" x14ac:dyDescent="0.2">
      <c r="A21" s="244" t="s">
        <v>463</v>
      </c>
      <c r="B21" s="245" t="s">
        <v>41</v>
      </c>
      <c r="C21" s="309">
        <v>1</v>
      </c>
      <c r="D21" s="641">
        <f t="shared" ref="D21:N21" si="9">C21</f>
        <v>1</v>
      </c>
      <c r="E21" s="641">
        <f t="shared" si="9"/>
        <v>1</v>
      </c>
      <c r="F21" s="641">
        <f t="shared" si="9"/>
        <v>1</v>
      </c>
      <c r="G21" s="641">
        <f t="shared" si="9"/>
        <v>1</v>
      </c>
      <c r="H21" s="641">
        <f t="shared" si="9"/>
        <v>1</v>
      </c>
      <c r="I21" s="641">
        <f t="shared" si="9"/>
        <v>1</v>
      </c>
      <c r="J21" s="641">
        <f t="shared" si="9"/>
        <v>1</v>
      </c>
      <c r="K21" s="641">
        <f t="shared" si="9"/>
        <v>1</v>
      </c>
      <c r="L21" s="641">
        <f t="shared" si="9"/>
        <v>1</v>
      </c>
      <c r="M21" s="641">
        <f t="shared" si="9"/>
        <v>1</v>
      </c>
      <c r="N21" s="641">
        <f t="shared" si="9"/>
        <v>1</v>
      </c>
    </row>
    <row r="22" spans="1:31" x14ac:dyDescent="0.2">
      <c r="A22" s="244" t="s">
        <v>465</v>
      </c>
      <c r="B22" s="245" t="s">
        <v>40</v>
      </c>
      <c r="C22" s="642">
        <f>C19/C20/C21</f>
        <v>0</v>
      </c>
      <c r="D22" s="642">
        <f t="shared" ref="D22" si="10">D19/D20/D21</f>
        <v>0</v>
      </c>
      <c r="E22" s="642">
        <f t="shared" ref="E22" si="11">E19/E20/E21</f>
        <v>58823.529411764706</v>
      </c>
      <c r="F22" s="642">
        <f t="shared" ref="F22" si="12">F19/F20/F21</f>
        <v>58823.529411764706</v>
      </c>
      <c r="G22" s="642">
        <f t="shared" ref="G22" si="13">G19/G20/G21</f>
        <v>58823.529411764706</v>
      </c>
      <c r="H22" s="642">
        <f t="shared" ref="H22" si="14">H19/H20/H21</f>
        <v>58823.529411764706</v>
      </c>
      <c r="I22" s="642">
        <f t="shared" ref="I22" si="15">I19/I20/I21</f>
        <v>58823.529411764706</v>
      </c>
      <c r="J22" s="642">
        <f t="shared" ref="J22" si="16">J19/J20/J21</f>
        <v>58823.529411764706</v>
      </c>
      <c r="K22" s="642">
        <f t="shared" ref="K22" si="17">K19/K20/K21</f>
        <v>58823.529411764706</v>
      </c>
      <c r="L22" s="642">
        <f t="shared" ref="L22" si="18">L19/L20/L21</f>
        <v>58823.529411764706</v>
      </c>
      <c r="M22" s="642">
        <f t="shared" ref="M22" si="19">M19/M20/M21</f>
        <v>58823.529411764706</v>
      </c>
      <c r="N22" s="642">
        <f t="shared" ref="N22" si="20">N19/N20/N21</f>
        <v>58823.529411764706</v>
      </c>
    </row>
    <row r="23" spans="1:31" x14ac:dyDescent="0.2">
      <c r="A23" s="244" t="s">
        <v>466</v>
      </c>
      <c r="B23" s="643">
        <v>0</v>
      </c>
      <c r="C23" s="642">
        <f>B23-C22</f>
        <v>0</v>
      </c>
      <c r="D23" s="642">
        <f>C23+C24-D22</f>
        <v>0</v>
      </c>
      <c r="E23" s="642">
        <f t="shared" ref="E23:N23" si="21">D23+D24-E22</f>
        <v>-58823.529411764706</v>
      </c>
      <c r="F23" s="642">
        <f t="shared" si="21"/>
        <v>-58823.529411764706</v>
      </c>
      <c r="G23" s="642">
        <f t="shared" si="21"/>
        <v>-58823.529411764706</v>
      </c>
      <c r="H23" s="642">
        <f t="shared" si="21"/>
        <v>-58823.529411764706</v>
      </c>
      <c r="I23" s="642">
        <f t="shared" si="21"/>
        <v>-58823.529411764706</v>
      </c>
      <c r="J23" s="642">
        <f t="shared" si="21"/>
        <v>-58823.529411764706</v>
      </c>
      <c r="K23" s="642">
        <f t="shared" si="21"/>
        <v>-58823.529411764706</v>
      </c>
      <c r="L23" s="642">
        <f t="shared" si="21"/>
        <v>-58823.529411764706</v>
      </c>
      <c r="M23" s="642">
        <f t="shared" si="21"/>
        <v>-58823.529411764706</v>
      </c>
      <c r="N23" s="642">
        <f t="shared" si="21"/>
        <v>-58823.529411764706</v>
      </c>
    </row>
    <row r="24" spans="1:31" x14ac:dyDescent="0.2">
      <c r="A24" s="244" t="s">
        <v>467</v>
      </c>
      <c r="B24" s="245" t="s">
        <v>40</v>
      </c>
      <c r="C24" s="289"/>
      <c r="D24" s="289"/>
      <c r="E24" s="289">
        <f>E22</f>
        <v>58823.529411764706</v>
      </c>
      <c r="F24" s="289">
        <f t="shared" ref="F24:N24" si="22">F22</f>
        <v>58823.529411764706</v>
      </c>
      <c r="G24" s="289">
        <f t="shared" si="22"/>
        <v>58823.529411764706</v>
      </c>
      <c r="H24" s="289">
        <f t="shared" si="22"/>
        <v>58823.529411764706</v>
      </c>
      <c r="I24" s="289">
        <f t="shared" si="22"/>
        <v>58823.529411764706</v>
      </c>
      <c r="J24" s="289">
        <f t="shared" si="22"/>
        <v>58823.529411764706</v>
      </c>
      <c r="K24" s="289">
        <f t="shared" si="22"/>
        <v>58823.529411764706</v>
      </c>
      <c r="L24" s="289">
        <f t="shared" si="22"/>
        <v>58823.529411764706</v>
      </c>
      <c r="M24" s="289">
        <f t="shared" si="22"/>
        <v>58823.529411764706</v>
      </c>
      <c r="N24" s="289">
        <f t="shared" si="22"/>
        <v>58823.529411764706</v>
      </c>
    </row>
    <row r="25" spans="1:31" x14ac:dyDescent="0.2">
      <c r="A25" s="244" t="s">
        <v>315</v>
      </c>
      <c r="B25" s="245" t="s">
        <v>411</v>
      </c>
      <c r="C25" s="639">
        <v>2.85</v>
      </c>
      <c r="D25" s="639">
        <f>C25</f>
        <v>2.85</v>
      </c>
      <c r="E25" s="639">
        <f>D25</f>
        <v>2.85</v>
      </c>
      <c r="F25" s="639">
        <f t="shared" ref="F25:N25" si="23">E25</f>
        <v>2.85</v>
      </c>
      <c r="G25" s="639">
        <f t="shared" si="23"/>
        <v>2.85</v>
      </c>
      <c r="H25" s="639">
        <f t="shared" si="23"/>
        <v>2.85</v>
      </c>
      <c r="I25" s="639">
        <f t="shared" si="23"/>
        <v>2.85</v>
      </c>
      <c r="J25" s="639">
        <f t="shared" si="23"/>
        <v>2.85</v>
      </c>
      <c r="K25" s="639">
        <f t="shared" si="23"/>
        <v>2.85</v>
      </c>
      <c r="L25" s="639">
        <f t="shared" si="23"/>
        <v>2.85</v>
      </c>
      <c r="M25" s="639">
        <f t="shared" si="23"/>
        <v>2.85</v>
      </c>
      <c r="N25" s="639">
        <f t="shared" si="23"/>
        <v>2.85</v>
      </c>
    </row>
    <row r="26" spans="1:31" ht="13.5" thickBot="1" x14ac:dyDescent="0.25">
      <c r="A26" s="248" t="s">
        <v>411</v>
      </c>
      <c r="B26" s="248"/>
      <c r="C26" s="248">
        <f>C24*C25</f>
        <v>0</v>
      </c>
      <c r="D26" s="248">
        <f t="shared" ref="D26:N26" si="24">D24*D25</f>
        <v>0</v>
      </c>
      <c r="E26" s="248">
        <f t="shared" si="24"/>
        <v>167647.05882352943</v>
      </c>
      <c r="F26" s="248">
        <f t="shared" si="24"/>
        <v>167647.05882352943</v>
      </c>
      <c r="G26" s="248">
        <f t="shared" si="24"/>
        <v>167647.05882352943</v>
      </c>
      <c r="H26" s="248">
        <f t="shared" si="24"/>
        <v>167647.05882352943</v>
      </c>
      <c r="I26" s="248">
        <f t="shared" si="24"/>
        <v>167647.05882352943</v>
      </c>
      <c r="J26" s="248">
        <f t="shared" si="24"/>
        <v>167647.05882352943</v>
      </c>
      <c r="K26" s="248">
        <f t="shared" si="24"/>
        <v>167647.05882352943</v>
      </c>
      <c r="L26" s="248">
        <f t="shared" si="24"/>
        <v>167647.05882352943</v>
      </c>
      <c r="M26" s="248">
        <f t="shared" si="24"/>
        <v>167647.05882352943</v>
      </c>
      <c r="N26" s="248">
        <f t="shared" si="24"/>
        <v>167647.05882352943</v>
      </c>
    </row>
    <row r="27" spans="1:31" x14ac:dyDescent="0.2">
      <c r="A27" s="22"/>
      <c r="B27" s="3"/>
      <c r="C27" s="3"/>
      <c r="D27" s="3"/>
      <c r="E27" s="3"/>
      <c r="F27" s="3"/>
      <c r="G27" s="3"/>
      <c r="H27" s="3"/>
      <c r="I27" s="3"/>
      <c r="J27" s="3"/>
      <c r="K27" s="3"/>
      <c r="L27" s="3"/>
      <c r="M27" s="3"/>
      <c r="N27" s="3"/>
    </row>
    <row r="28" spans="1:31" ht="16.5" thickBot="1" x14ac:dyDescent="0.3">
      <c r="A28" s="551" t="s">
        <v>533</v>
      </c>
      <c r="C28" s="370"/>
    </row>
    <row r="29" spans="1:31" x14ac:dyDescent="0.2">
      <c r="A29" s="19" t="s">
        <v>315</v>
      </c>
      <c r="B29" s="550"/>
      <c r="C29" s="19" t="str">
        <f>C18</f>
        <v>Mar</v>
      </c>
      <c r="D29" s="19" t="str">
        <f t="shared" ref="D29:N29" si="25">D18</f>
        <v>Apr</v>
      </c>
      <c r="E29" s="19" t="str">
        <f t="shared" si="25"/>
        <v>May</v>
      </c>
      <c r="F29" s="19" t="str">
        <f t="shared" si="25"/>
        <v>Jun</v>
      </c>
      <c r="G29" s="19" t="str">
        <f t="shared" si="25"/>
        <v>Jul</v>
      </c>
      <c r="H29" s="19" t="str">
        <f t="shared" si="25"/>
        <v>Aug</v>
      </c>
      <c r="I29" s="19" t="str">
        <f t="shared" si="25"/>
        <v>Sep</v>
      </c>
      <c r="J29" s="19" t="str">
        <f t="shared" si="25"/>
        <v>Oct</v>
      </c>
      <c r="K29" s="19" t="str">
        <f t="shared" si="25"/>
        <v>Nov</v>
      </c>
      <c r="L29" s="19" t="str">
        <f t="shared" si="25"/>
        <v>Dec</v>
      </c>
      <c r="M29" s="19" t="str">
        <f t="shared" si="25"/>
        <v>Jan</v>
      </c>
      <c r="N29" s="19" t="str">
        <f t="shared" si="25"/>
        <v>Feb</v>
      </c>
    </row>
    <row r="30" spans="1:31" x14ac:dyDescent="0.2">
      <c r="A30" s="242" t="s">
        <v>464</v>
      </c>
      <c r="B30" s="243" t="s">
        <v>40</v>
      </c>
      <c r="C30" s="640">
        <f>'P1 Feeding'!D10</f>
        <v>0</v>
      </c>
      <c r="D30" s="640">
        <f>'P1 Feeding'!E10</f>
        <v>0</v>
      </c>
      <c r="E30" s="640">
        <f>'P1 Feeding'!F10</f>
        <v>50000</v>
      </c>
      <c r="F30" s="640">
        <f>'P1 Feeding'!G10</f>
        <v>50000</v>
      </c>
      <c r="G30" s="640">
        <f>'P1 Feeding'!H10</f>
        <v>30000</v>
      </c>
      <c r="H30" s="640">
        <f>'P1 Feeding'!I10</f>
        <v>0</v>
      </c>
      <c r="I30" s="640">
        <f>'P1 Feeding'!J10</f>
        <v>0</v>
      </c>
      <c r="J30" s="640">
        <f>'P1 Feeding'!K10</f>
        <v>0</v>
      </c>
      <c r="K30" s="640">
        <f>'P1 Feeding'!L10</f>
        <v>0</v>
      </c>
      <c r="L30" s="640">
        <f>'P1 Feeding'!M10</f>
        <v>0</v>
      </c>
      <c r="M30" s="640">
        <f>'P1 Feeding'!N10</f>
        <v>0</v>
      </c>
      <c r="N30" s="640">
        <f>'P1 Feeding'!O10</f>
        <v>0</v>
      </c>
      <c r="R30" s="24"/>
      <c r="S30" s="24"/>
      <c r="T30" s="21"/>
      <c r="U30" s="21"/>
      <c r="V30" s="21"/>
      <c r="W30" s="21"/>
      <c r="X30" s="21"/>
      <c r="Y30" s="21"/>
      <c r="Z30" s="21"/>
      <c r="AA30" s="21"/>
      <c r="AB30" s="21"/>
      <c r="AC30" s="21"/>
      <c r="AD30" s="21"/>
      <c r="AE30" s="21"/>
    </row>
    <row r="31" spans="1:31" x14ac:dyDescent="0.2">
      <c r="A31" s="244" t="s">
        <v>461</v>
      </c>
      <c r="B31" s="245" t="s">
        <v>462</v>
      </c>
      <c r="C31" s="309">
        <v>0.85</v>
      </c>
      <c r="D31" s="641">
        <f>C31</f>
        <v>0.85</v>
      </c>
      <c r="E31" s="641">
        <f t="shared" ref="E31:N31" si="26">D31</f>
        <v>0.85</v>
      </c>
      <c r="F31" s="641">
        <f t="shared" si="26"/>
        <v>0.85</v>
      </c>
      <c r="G31" s="641">
        <f t="shared" si="26"/>
        <v>0.85</v>
      </c>
      <c r="H31" s="641">
        <f t="shared" si="26"/>
        <v>0.85</v>
      </c>
      <c r="I31" s="641">
        <f t="shared" si="26"/>
        <v>0.85</v>
      </c>
      <c r="J31" s="641">
        <f t="shared" si="26"/>
        <v>0.85</v>
      </c>
      <c r="K31" s="641">
        <f t="shared" si="26"/>
        <v>0.85</v>
      </c>
      <c r="L31" s="641">
        <f t="shared" si="26"/>
        <v>0.85</v>
      </c>
      <c r="M31" s="641">
        <f t="shared" si="26"/>
        <v>0.85</v>
      </c>
      <c r="N31" s="641">
        <f t="shared" si="26"/>
        <v>0.85</v>
      </c>
      <c r="R31" s="24"/>
      <c r="S31" s="24"/>
      <c r="T31" s="21"/>
      <c r="U31" s="21"/>
      <c r="V31" s="21"/>
      <c r="W31" s="21"/>
      <c r="X31" s="21"/>
      <c r="Y31" s="21"/>
      <c r="Z31" s="21"/>
      <c r="AA31" s="21"/>
      <c r="AB31" s="21"/>
      <c r="AC31" s="21"/>
      <c r="AD31" s="21"/>
      <c r="AE31" s="21"/>
    </row>
    <row r="32" spans="1:31" x14ac:dyDescent="0.2">
      <c r="A32" s="244" t="s">
        <v>463</v>
      </c>
      <c r="B32" s="245" t="s">
        <v>41</v>
      </c>
      <c r="C32" s="309">
        <v>0.95</v>
      </c>
      <c r="D32" s="641">
        <f t="shared" ref="D32:N32" si="27">C32</f>
        <v>0.95</v>
      </c>
      <c r="E32" s="641">
        <f t="shared" si="27"/>
        <v>0.95</v>
      </c>
      <c r="F32" s="641">
        <f t="shared" si="27"/>
        <v>0.95</v>
      </c>
      <c r="G32" s="641">
        <f t="shared" si="27"/>
        <v>0.95</v>
      </c>
      <c r="H32" s="641">
        <f t="shared" si="27"/>
        <v>0.95</v>
      </c>
      <c r="I32" s="641">
        <f t="shared" si="27"/>
        <v>0.95</v>
      </c>
      <c r="J32" s="641">
        <f t="shared" si="27"/>
        <v>0.95</v>
      </c>
      <c r="K32" s="641">
        <f t="shared" si="27"/>
        <v>0.95</v>
      </c>
      <c r="L32" s="641">
        <f t="shared" si="27"/>
        <v>0.95</v>
      </c>
      <c r="M32" s="641">
        <f t="shared" si="27"/>
        <v>0.95</v>
      </c>
      <c r="N32" s="641">
        <f t="shared" si="27"/>
        <v>0.95</v>
      </c>
      <c r="R32" s="24"/>
      <c r="S32" s="24"/>
      <c r="T32" s="21"/>
      <c r="U32" s="21"/>
      <c r="V32" s="21"/>
      <c r="W32" s="21"/>
      <c r="X32" s="21"/>
      <c r="Y32" s="21"/>
      <c r="Z32" s="21"/>
      <c r="AA32" s="21"/>
      <c r="AB32" s="21"/>
      <c r="AC32" s="21"/>
      <c r="AD32" s="21"/>
      <c r="AE32" s="21"/>
    </row>
    <row r="33" spans="1:31" x14ac:dyDescent="0.2">
      <c r="A33" s="244" t="s">
        <v>465</v>
      </c>
      <c r="B33" s="245" t="s">
        <v>40</v>
      </c>
      <c r="C33" s="642">
        <f>C30/C31/C32</f>
        <v>0</v>
      </c>
      <c r="D33" s="642">
        <f t="shared" ref="D33" si="28">D30/D31/D32</f>
        <v>0</v>
      </c>
      <c r="E33" s="642">
        <f t="shared" ref="E33" si="29">E30/E31/E32</f>
        <v>61919.50464396285</v>
      </c>
      <c r="F33" s="642">
        <f t="shared" ref="F33" si="30">F30/F31/F32</f>
        <v>61919.50464396285</v>
      </c>
      <c r="G33" s="642">
        <f t="shared" ref="G33" si="31">G30/G31/G32</f>
        <v>37151.702786377711</v>
      </c>
      <c r="H33" s="642">
        <f t="shared" ref="H33" si="32">H30/H31/H32</f>
        <v>0</v>
      </c>
      <c r="I33" s="642">
        <f t="shared" ref="I33" si="33">I30/I31/I32</f>
        <v>0</v>
      </c>
      <c r="J33" s="642">
        <f t="shared" ref="J33" si="34">J30/J31/J32</f>
        <v>0</v>
      </c>
      <c r="K33" s="642">
        <f t="shared" ref="K33" si="35">K30/K31/K32</f>
        <v>0</v>
      </c>
      <c r="L33" s="642">
        <f t="shared" ref="L33" si="36">L30/L31/L32</f>
        <v>0</v>
      </c>
      <c r="M33" s="642">
        <f t="shared" ref="M33" si="37">M30/M31/M32</f>
        <v>0</v>
      </c>
      <c r="N33" s="642">
        <f t="shared" ref="N33" si="38">N30/N31/N32</f>
        <v>0</v>
      </c>
      <c r="R33" s="24"/>
      <c r="S33" s="24"/>
      <c r="T33" s="21"/>
      <c r="U33" s="21"/>
      <c r="V33" s="21"/>
      <c r="W33" s="21"/>
      <c r="X33" s="21"/>
      <c r="Y33" s="21"/>
      <c r="Z33" s="21"/>
      <c r="AA33" s="21"/>
      <c r="AB33" s="21"/>
      <c r="AC33" s="21"/>
      <c r="AD33" s="21"/>
      <c r="AE33" s="21"/>
    </row>
    <row r="34" spans="1:31" x14ac:dyDescent="0.2">
      <c r="A34" s="244" t="s">
        <v>466</v>
      </c>
      <c r="B34" s="643">
        <v>0</v>
      </c>
      <c r="C34" s="642">
        <f>B34-C33</f>
        <v>0</v>
      </c>
      <c r="D34" s="642">
        <f>C34+C35-D33</f>
        <v>0</v>
      </c>
      <c r="E34" s="642">
        <f t="shared" ref="E34" si="39">D34+D35-E33</f>
        <v>-61919.50464396285</v>
      </c>
      <c r="F34" s="642">
        <f t="shared" ref="F34" si="40">E34+E35-F33</f>
        <v>-61919.50464396285</v>
      </c>
      <c r="G34" s="642">
        <f t="shared" ref="G34" si="41">F34+F35-G33</f>
        <v>-37151.702786377711</v>
      </c>
      <c r="H34" s="642">
        <f t="shared" ref="H34" si="42">G34+G35-H33</f>
        <v>0</v>
      </c>
      <c r="I34" s="642">
        <f t="shared" ref="I34" si="43">H34+H35-I33</f>
        <v>0</v>
      </c>
      <c r="J34" s="642">
        <f t="shared" ref="J34" si="44">I34+I35-J33</f>
        <v>0</v>
      </c>
      <c r="K34" s="642">
        <f t="shared" ref="K34" si="45">J34+J35-K33</f>
        <v>0</v>
      </c>
      <c r="L34" s="642">
        <f t="shared" ref="L34" si="46">K34+K35-L33</f>
        <v>0</v>
      </c>
      <c r="M34" s="642">
        <f t="shared" ref="M34" si="47">L34+L35-M33</f>
        <v>0</v>
      </c>
      <c r="N34" s="642">
        <f t="shared" ref="N34" si="48">M34+M35-N33</f>
        <v>0</v>
      </c>
      <c r="R34" s="24"/>
      <c r="S34" s="24"/>
      <c r="T34" s="21"/>
      <c r="U34" s="21"/>
      <c r="V34" s="21"/>
      <c r="W34" s="21"/>
      <c r="X34" s="21"/>
      <c r="Y34" s="21"/>
      <c r="Z34" s="21"/>
      <c r="AA34" s="21"/>
      <c r="AB34" s="21"/>
      <c r="AC34" s="21"/>
      <c r="AD34" s="21"/>
      <c r="AE34" s="21"/>
    </row>
    <row r="35" spans="1:31" x14ac:dyDescent="0.2">
      <c r="A35" s="244" t="s">
        <v>467</v>
      </c>
      <c r="B35" s="245" t="s">
        <v>40</v>
      </c>
      <c r="C35" s="289"/>
      <c r="D35" s="289"/>
      <c r="E35" s="289">
        <f>E33</f>
        <v>61919.50464396285</v>
      </c>
      <c r="F35" s="289">
        <f t="shared" ref="F35:N35" si="49">F33</f>
        <v>61919.50464396285</v>
      </c>
      <c r="G35" s="289">
        <f t="shared" si="49"/>
        <v>37151.702786377711</v>
      </c>
      <c r="H35" s="289">
        <f t="shared" si="49"/>
        <v>0</v>
      </c>
      <c r="I35" s="289">
        <f t="shared" si="49"/>
        <v>0</v>
      </c>
      <c r="J35" s="289">
        <f t="shared" si="49"/>
        <v>0</v>
      </c>
      <c r="K35" s="289">
        <f t="shared" si="49"/>
        <v>0</v>
      </c>
      <c r="L35" s="289">
        <f t="shared" si="49"/>
        <v>0</v>
      </c>
      <c r="M35" s="289">
        <f t="shared" si="49"/>
        <v>0</v>
      </c>
      <c r="N35" s="289">
        <f t="shared" si="49"/>
        <v>0</v>
      </c>
      <c r="R35" s="24"/>
      <c r="S35" s="24"/>
      <c r="T35" s="21"/>
      <c r="U35" s="21"/>
      <c r="V35" s="21"/>
      <c r="W35" s="21"/>
      <c r="X35" s="21"/>
      <c r="Y35" s="21"/>
      <c r="Z35" s="21"/>
      <c r="AA35" s="21"/>
      <c r="AB35" s="21"/>
      <c r="AC35" s="21"/>
      <c r="AD35" s="21"/>
      <c r="AE35" s="21"/>
    </row>
    <row r="36" spans="1:31" x14ac:dyDescent="0.2">
      <c r="A36" s="244" t="s">
        <v>315</v>
      </c>
      <c r="B36" s="245" t="s">
        <v>411</v>
      </c>
      <c r="C36" s="639">
        <v>2.5499999999999998</v>
      </c>
      <c r="D36" s="639">
        <f>C36</f>
        <v>2.5499999999999998</v>
      </c>
      <c r="E36" s="639">
        <f t="shared" ref="E36:N36" si="50">D36</f>
        <v>2.5499999999999998</v>
      </c>
      <c r="F36" s="639">
        <f t="shared" si="50"/>
        <v>2.5499999999999998</v>
      </c>
      <c r="G36" s="639">
        <f t="shared" si="50"/>
        <v>2.5499999999999998</v>
      </c>
      <c r="H36" s="639">
        <f t="shared" si="50"/>
        <v>2.5499999999999998</v>
      </c>
      <c r="I36" s="639">
        <f t="shared" si="50"/>
        <v>2.5499999999999998</v>
      </c>
      <c r="J36" s="639">
        <f t="shared" si="50"/>
        <v>2.5499999999999998</v>
      </c>
      <c r="K36" s="639">
        <f t="shared" si="50"/>
        <v>2.5499999999999998</v>
      </c>
      <c r="L36" s="639">
        <f t="shared" si="50"/>
        <v>2.5499999999999998</v>
      </c>
      <c r="M36" s="639">
        <f t="shared" si="50"/>
        <v>2.5499999999999998</v>
      </c>
      <c r="N36" s="639">
        <f t="shared" si="50"/>
        <v>2.5499999999999998</v>
      </c>
      <c r="R36" s="24"/>
      <c r="S36" s="24"/>
      <c r="T36" s="21"/>
      <c r="U36" s="21"/>
      <c r="V36" s="21"/>
      <c r="W36" s="21"/>
      <c r="X36" s="21"/>
      <c r="Y36" s="21"/>
      <c r="Z36" s="21"/>
      <c r="AA36" s="21"/>
      <c r="AB36" s="21"/>
      <c r="AC36" s="21"/>
      <c r="AD36" s="21"/>
      <c r="AE36" s="21"/>
    </row>
    <row r="37" spans="1:31" ht="13.5" thickBot="1" x14ac:dyDescent="0.25">
      <c r="A37" s="248" t="s">
        <v>411</v>
      </c>
      <c r="B37" s="248"/>
      <c r="C37" s="248">
        <f>C35*C36</f>
        <v>0</v>
      </c>
      <c r="D37" s="248">
        <f t="shared" ref="D37:N37" si="51">D35*D36</f>
        <v>0</v>
      </c>
      <c r="E37" s="248">
        <f t="shared" si="51"/>
        <v>157894.73684210525</v>
      </c>
      <c r="F37" s="248">
        <f t="shared" si="51"/>
        <v>157894.73684210525</v>
      </c>
      <c r="G37" s="248">
        <f t="shared" si="51"/>
        <v>94736.84210526316</v>
      </c>
      <c r="H37" s="248">
        <f t="shared" si="51"/>
        <v>0</v>
      </c>
      <c r="I37" s="248">
        <f t="shared" si="51"/>
        <v>0</v>
      </c>
      <c r="J37" s="248">
        <f t="shared" si="51"/>
        <v>0</v>
      </c>
      <c r="K37" s="248">
        <f t="shared" si="51"/>
        <v>0</v>
      </c>
      <c r="L37" s="248">
        <f t="shared" si="51"/>
        <v>0</v>
      </c>
      <c r="M37" s="248">
        <f t="shared" si="51"/>
        <v>0</v>
      </c>
      <c r="N37" s="248">
        <f t="shared" si="51"/>
        <v>0</v>
      </c>
      <c r="R37" s="24"/>
      <c r="S37" s="24"/>
      <c r="T37" s="21"/>
      <c r="U37" s="21"/>
      <c r="V37" s="21"/>
      <c r="W37" s="21"/>
      <c r="X37" s="21"/>
      <c r="Y37" s="21"/>
      <c r="Z37" s="21"/>
      <c r="AA37" s="21"/>
      <c r="AB37" s="21"/>
      <c r="AC37" s="21"/>
      <c r="AD37" s="21"/>
      <c r="AE37" s="21"/>
    </row>
    <row r="38" spans="1:31" x14ac:dyDescent="0.2">
      <c r="A38" s="22"/>
      <c r="B38" s="3"/>
      <c r="C38" s="3"/>
      <c r="D38" s="3"/>
      <c r="E38" s="3"/>
      <c r="F38" s="3"/>
      <c r="G38" s="3"/>
      <c r="H38" s="3"/>
      <c r="I38" s="3"/>
      <c r="J38" s="3"/>
      <c r="K38" s="3"/>
      <c r="L38" s="3"/>
      <c r="M38" s="3"/>
      <c r="N38" s="3"/>
      <c r="R38" s="24"/>
      <c r="S38" s="24"/>
      <c r="T38" s="21"/>
      <c r="U38" s="21"/>
      <c r="V38" s="21"/>
      <c r="W38" s="21"/>
      <c r="X38" s="21"/>
      <c r="Y38" s="21"/>
      <c r="Z38" s="21"/>
      <c r="AA38" s="21"/>
      <c r="AB38" s="21"/>
      <c r="AC38" s="21"/>
      <c r="AD38" s="21"/>
      <c r="AE38" s="21"/>
    </row>
    <row r="39" spans="1:31" ht="16.5" thickBot="1" x14ac:dyDescent="0.3">
      <c r="A39" s="551" t="s">
        <v>578</v>
      </c>
      <c r="C39" s="370"/>
      <c r="R39" s="24"/>
      <c r="S39" s="24"/>
      <c r="T39" s="21"/>
      <c r="U39" s="21"/>
      <c r="V39" s="21"/>
      <c r="W39" s="21"/>
      <c r="X39" s="21"/>
      <c r="Y39" s="21"/>
      <c r="Z39" s="21"/>
      <c r="AA39" s="21"/>
      <c r="AB39" s="21"/>
      <c r="AC39" s="21"/>
      <c r="AD39" s="21"/>
      <c r="AE39" s="21"/>
    </row>
    <row r="40" spans="1:31" x14ac:dyDescent="0.2">
      <c r="A40" s="19" t="s">
        <v>315</v>
      </c>
      <c r="B40" s="550"/>
      <c r="C40" s="19" t="str">
        <f>C29</f>
        <v>Mar</v>
      </c>
      <c r="D40" s="19" t="str">
        <f t="shared" ref="D40:N40" si="52">D29</f>
        <v>Apr</v>
      </c>
      <c r="E40" s="19" t="str">
        <f t="shared" si="52"/>
        <v>May</v>
      </c>
      <c r="F40" s="19" t="str">
        <f t="shared" si="52"/>
        <v>Jun</v>
      </c>
      <c r="G40" s="19" t="str">
        <f t="shared" si="52"/>
        <v>Jul</v>
      </c>
      <c r="H40" s="19" t="str">
        <f t="shared" si="52"/>
        <v>Aug</v>
      </c>
      <c r="I40" s="19" t="str">
        <f t="shared" si="52"/>
        <v>Sep</v>
      </c>
      <c r="J40" s="19" t="str">
        <f t="shared" si="52"/>
        <v>Oct</v>
      </c>
      <c r="K40" s="19" t="str">
        <f t="shared" si="52"/>
        <v>Nov</v>
      </c>
      <c r="L40" s="19" t="str">
        <f t="shared" si="52"/>
        <v>Dec</v>
      </c>
      <c r="M40" s="19" t="str">
        <f t="shared" si="52"/>
        <v>Jan</v>
      </c>
      <c r="N40" s="19" t="str">
        <f t="shared" si="52"/>
        <v>Feb</v>
      </c>
      <c r="R40" s="24"/>
      <c r="S40" s="24"/>
      <c r="T40" s="21"/>
      <c r="U40" s="21"/>
      <c r="V40" s="21"/>
      <c r="W40" s="21"/>
      <c r="X40" s="21"/>
      <c r="Y40" s="21"/>
      <c r="Z40" s="21"/>
      <c r="AA40" s="21"/>
      <c r="AB40" s="21"/>
      <c r="AC40" s="21"/>
      <c r="AD40" s="21"/>
      <c r="AE40" s="21"/>
    </row>
    <row r="41" spans="1:31" x14ac:dyDescent="0.2">
      <c r="A41" s="242" t="s">
        <v>464</v>
      </c>
      <c r="B41" s="243" t="s">
        <v>40</v>
      </c>
      <c r="C41" s="640">
        <f>'P1 Feeding'!D11</f>
        <v>0</v>
      </c>
      <c r="D41" s="640">
        <f>'P1 Feeding'!E11</f>
        <v>0</v>
      </c>
      <c r="E41" s="640">
        <f>'P1 Feeding'!F11</f>
        <v>50000</v>
      </c>
      <c r="F41" s="640">
        <f>'P1 Feeding'!G11</f>
        <v>0</v>
      </c>
      <c r="G41" s="640">
        <f>'P1 Feeding'!H11</f>
        <v>30000</v>
      </c>
      <c r="H41" s="640">
        <f>'P1 Feeding'!I11</f>
        <v>0</v>
      </c>
      <c r="I41" s="640">
        <f>'P1 Feeding'!J11</f>
        <v>0</v>
      </c>
      <c r="J41" s="640">
        <f>'P1 Feeding'!K11</f>
        <v>0</v>
      </c>
      <c r="K41" s="640">
        <f>'P1 Feeding'!L11</f>
        <v>0</v>
      </c>
      <c r="L41" s="640">
        <f>'P1 Feeding'!M11</f>
        <v>0</v>
      </c>
      <c r="M41" s="640">
        <f>'P1 Feeding'!N11</f>
        <v>0</v>
      </c>
      <c r="N41" s="640">
        <f>'P1 Feeding'!O11</f>
        <v>0</v>
      </c>
      <c r="R41" s="24"/>
      <c r="S41" s="24"/>
      <c r="T41" s="21"/>
      <c r="U41" s="21"/>
      <c r="V41" s="21"/>
      <c r="W41" s="21"/>
      <c r="X41" s="21"/>
      <c r="Y41" s="21"/>
      <c r="Z41" s="21"/>
      <c r="AA41" s="21"/>
      <c r="AB41" s="21"/>
      <c r="AC41" s="21"/>
      <c r="AD41" s="21"/>
      <c r="AE41" s="21"/>
    </row>
    <row r="42" spans="1:31" x14ac:dyDescent="0.2">
      <c r="A42" s="244" t="s">
        <v>461</v>
      </c>
      <c r="B42" s="245" t="s">
        <v>462</v>
      </c>
      <c r="C42" s="309">
        <v>0.85</v>
      </c>
      <c r="D42" s="641">
        <f>C42</f>
        <v>0.85</v>
      </c>
      <c r="E42" s="641">
        <f t="shared" ref="E42:N42" si="53">D42</f>
        <v>0.85</v>
      </c>
      <c r="F42" s="641">
        <f t="shared" si="53"/>
        <v>0.85</v>
      </c>
      <c r="G42" s="641">
        <f t="shared" si="53"/>
        <v>0.85</v>
      </c>
      <c r="H42" s="641">
        <f t="shared" si="53"/>
        <v>0.85</v>
      </c>
      <c r="I42" s="641">
        <f t="shared" si="53"/>
        <v>0.85</v>
      </c>
      <c r="J42" s="641">
        <f t="shared" si="53"/>
        <v>0.85</v>
      </c>
      <c r="K42" s="641">
        <f t="shared" si="53"/>
        <v>0.85</v>
      </c>
      <c r="L42" s="641">
        <f t="shared" si="53"/>
        <v>0.85</v>
      </c>
      <c r="M42" s="641">
        <f t="shared" si="53"/>
        <v>0.85</v>
      </c>
      <c r="N42" s="641">
        <f t="shared" si="53"/>
        <v>0.85</v>
      </c>
      <c r="R42" s="24"/>
      <c r="S42" s="24"/>
      <c r="T42" s="21"/>
      <c r="U42" s="21"/>
      <c r="V42" s="21"/>
      <c r="W42" s="21"/>
      <c r="X42" s="21"/>
      <c r="Y42" s="21"/>
      <c r="Z42" s="21"/>
      <c r="AA42" s="21"/>
      <c r="AB42" s="21"/>
      <c r="AC42" s="21"/>
      <c r="AD42" s="21"/>
      <c r="AE42" s="21"/>
    </row>
    <row r="43" spans="1:31" x14ac:dyDescent="0.2">
      <c r="A43" s="244" t="s">
        <v>463</v>
      </c>
      <c r="B43" s="245" t="s">
        <v>41</v>
      </c>
      <c r="C43" s="309">
        <v>1</v>
      </c>
      <c r="D43" s="641">
        <f t="shared" ref="D43:N43" si="54">C43</f>
        <v>1</v>
      </c>
      <c r="E43" s="641">
        <f t="shared" si="54"/>
        <v>1</v>
      </c>
      <c r="F43" s="641">
        <f t="shared" si="54"/>
        <v>1</v>
      </c>
      <c r="G43" s="641">
        <f t="shared" si="54"/>
        <v>1</v>
      </c>
      <c r="H43" s="641">
        <f t="shared" si="54"/>
        <v>1</v>
      </c>
      <c r="I43" s="641">
        <f t="shared" si="54"/>
        <v>1</v>
      </c>
      <c r="J43" s="641">
        <f t="shared" si="54"/>
        <v>1</v>
      </c>
      <c r="K43" s="641">
        <f t="shared" si="54"/>
        <v>1</v>
      </c>
      <c r="L43" s="641">
        <f t="shared" si="54"/>
        <v>1</v>
      </c>
      <c r="M43" s="641">
        <f t="shared" si="54"/>
        <v>1</v>
      </c>
      <c r="N43" s="641">
        <f t="shared" si="54"/>
        <v>1</v>
      </c>
      <c r="R43" s="24"/>
      <c r="S43" s="24"/>
      <c r="T43" s="21"/>
      <c r="U43" s="21"/>
      <c r="V43" s="21"/>
      <c r="W43" s="21"/>
      <c r="X43" s="21"/>
      <c r="Y43" s="21"/>
      <c r="Z43" s="21"/>
      <c r="AA43" s="21"/>
      <c r="AB43" s="21"/>
      <c r="AC43" s="21"/>
      <c r="AD43" s="21"/>
      <c r="AE43" s="21"/>
    </row>
    <row r="44" spans="1:31" x14ac:dyDescent="0.2">
      <c r="A44" s="244" t="s">
        <v>465</v>
      </c>
      <c r="B44" s="245" t="s">
        <v>40</v>
      </c>
      <c r="C44" s="642">
        <f>C41/C42/C43</f>
        <v>0</v>
      </c>
      <c r="D44" s="642">
        <f t="shared" ref="D44" si="55">D41/D42/D43</f>
        <v>0</v>
      </c>
      <c r="E44" s="642">
        <f t="shared" ref="E44" si="56">E41/E42/E43</f>
        <v>58823.529411764706</v>
      </c>
      <c r="F44" s="642">
        <f t="shared" ref="F44" si="57">F41/F42/F43</f>
        <v>0</v>
      </c>
      <c r="G44" s="642">
        <f t="shared" ref="G44" si="58">G41/G42/G43</f>
        <v>35294.117647058825</v>
      </c>
      <c r="H44" s="642">
        <f t="shared" ref="H44" si="59">H41/H42/H43</f>
        <v>0</v>
      </c>
      <c r="I44" s="642">
        <f t="shared" ref="I44" si="60">I41/I42/I43</f>
        <v>0</v>
      </c>
      <c r="J44" s="642">
        <f t="shared" ref="J44" si="61">J41/J42/J43</f>
        <v>0</v>
      </c>
      <c r="K44" s="642">
        <f t="shared" ref="K44" si="62">K41/K42/K43</f>
        <v>0</v>
      </c>
      <c r="L44" s="642">
        <f t="shared" ref="L44" si="63">L41/L42/L43</f>
        <v>0</v>
      </c>
      <c r="M44" s="642">
        <f t="shared" ref="M44" si="64">M41/M42/M43</f>
        <v>0</v>
      </c>
      <c r="N44" s="642">
        <f t="shared" ref="N44" si="65">N41/N42/N43</f>
        <v>0</v>
      </c>
      <c r="R44" s="24"/>
      <c r="S44" s="24"/>
      <c r="T44" s="21"/>
      <c r="U44" s="21"/>
      <c r="V44" s="21"/>
      <c r="W44" s="21"/>
      <c r="X44" s="21"/>
      <c r="Y44" s="21"/>
      <c r="Z44" s="21"/>
      <c r="AA44" s="21"/>
      <c r="AB44" s="21"/>
      <c r="AC44" s="21"/>
      <c r="AD44" s="21"/>
      <c r="AE44" s="21"/>
    </row>
    <row r="45" spans="1:31" x14ac:dyDescent="0.2">
      <c r="A45" s="244" t="s">
        <v>466</v>
      </c>
      <c r="B45" s="643">
        <v>0</v>
      </c>
      <c r="C45" s="642">
        <f>B45-C44</f>
        <v>0</v>
      </c>
      <c r="D45" s="642">
        <f>C45+C46-D44</f>
        <v>0</v>
      </c>
      <c r="E45" s="642">
        <f t="shared" ref="E45" si="66">D45+D46-E44</f>
        <v>-58823.529411764706</v>
      </c>
      <c r="F45" s="642">
        <f t="shared" ref="F45" si="67">E45+E46-F44</f>
        <v>0</v>
      </c>
      <c r="G45" s="642">
        <f t="shared" ref="G45" si="68">F45+F46-G44</f>
        <v>-35294.117647058825</v>
      </c>
      <c r="H45" s="642">
        <f t="shared" ref="H45" si="69">G45+G46-H44</f>
        <v>0</v>
      </c>
      <c r="I45" s="642">
        <f t="shared" ref="I45" si="70">H45+H46-I44</f>
        <v>0</v>
      </c>
      <c r="J45" s="642">
        <f t="shared" ref="J45" si="71">I45+I46-J44</f>
        <v>0</v>
      </c>
      <c r="K45" s="642">
        <f t="shared" ref="K45" si="72">J45+J46-K44</f>
        <v>0</v>
      </c>
      <c r="L45" s="642">
        <f t="shared" ref="L45" si="73">K45+K46-L44</f>
        <v>0</v>
      </c>
      <c r="M45" s="642">
        <f t="shared" ref="M45" si="74">L45+L46-M44</f>
        <v>0</v>
      </c>
      <c r="N45" s="642">
        <f t="shared" ref="N45" si="75">M45+M46-N44</f>
        <v>0</v>
      </c>
      <c r="R45" s="24"/>
      <c r="S45" s="24"/>
      <c r="T45" s="21"/>
      <c r="U45" s="21"/>
      <c r="V45" s="21"/>
      <c r="W45" s="21"/>
      <c r="X45" s="21"/>
      <c r="Y45" s="21"/>
      <c r="Z45" s="21"/>
      <c r="AA45" s="21"/>
      <c r="AB45" s="21"/>
      <c r="AC45" s="21"/>
      <c r="AD45" s="21"/>
      <c r="AE45" s="21"/>
    </row>
    <row r="46" spans="1:31" x14ac:dyDescent="0.2">
      <c r="A46" s="244" t="s">
        <v>467</v>
      </c>
      <c r="B46" s="245" t="s">
        <v>40</v>
      </c>
      <c r="C46" s="289"/>
      <c r="D46" s="289"/>
      <c r="E46" s="289">
        <f>E44</f>
        <v>58823.529411764706</v>
      </c>
      <c r="F46" s="289">
        <f t="shared" ref="F46:N46" si="76">F44</f>
        <v>0</v>
      </c>
      <c r="G46" s="289">
        <f t="shared" si="76"/>
        <v>35294.117647058825</v>
      </c>
      <c r="H46" s="289">
        <f t="shared" si="76"/>
        <v>0</v>
      </c>
      <c r="I46" s="289">
        <f t="shared" si="76"/>
        <v>0</v>
      </c>
      <c r="J46" s="289">
        <f t="shared" si="76"/>
        <v>0</v>
      </c>
      <c r="K46" s="289">
        <f t="shared" si="76"/>
        <v>0</v>
      </c>
      <c r="L46" s="289">
        <f t="shared" si="76"/>
        <v>0</v>
      </c>
      <c r="M46" s="289">
        <f t="shared" si="76"/>
        <v>0</v>
      </c>
      <c r="N46" s="289">
        <f t="shared" si="76"/>
        <v>0</v>
      </c>
      <c r="R46" s="24"/>
      <c r="S46" s="24"/>
      <c r="T46" s="21"/>
      <c r="U46" s="21"/>
      <c r="V46" s="21"/>
      <c r="W46" s="21"/>
      <c r="X46" s="21"/>
      <c r="Y46" s="21"/>
      <c r="Z46" s="21"/>
      <c r="AA46" s="21"/>
      <c r="AB46" s="21"/>
      <c r="AC46" s="21"/>
      <c r="AD46" s="21"/>
      <c r="AE46" s="21"/>
    </row>
    <row r="47" spans="1:31" x14ac:dyDescent="0.2">
      <c r="A47" s="244" t="s">
        <v>315</v>
      </c>
      <c r="B47" s="245" t="s">
        <v>411</v>
      </c>
      <c r="C47" s="639">
        <v>2.6</v>
      </c>
      <c r="D47" s="639">
        <f>C47</f>
        <v>2.6</v>
      </c>
      <c r="E47" s="639">
        <f t="shared" ref="E47:N47" si="77">D47</f>
        <v>2.6</v>
      </c>
      <c r="F47" s="639">
        <f t="shared" si="77"/>
        <v>2.6</v>
      </c>
      <c r="G47" s="639">
        <f t="shared" si="77"/>
        <v>2.6</v>
      </c>
      <c r="H47" s="639">
        <f t="shared" si="77"/>
        <v>2.6</v>
      </c>
      <c r="I47" s="639">
        <f t="shared" si="77"/>
        <v>2.6</v>
      </c>
      <c r="J47" s="639">
        <f t="shared" si="77"/>
        <v>2.6</v>
      </c>
      <c r="K47" s="639">
        <f t="shared" si="77"/>
        <v>2.6</v>
      </c>
      <c r="L47" s="639">
        <f t="shared" si="77"/>
        <v>2.6</v>
      </c>
      <c r="M47" s="639">
        <f t="shared" si="77"/>
        <v>2.6</v>
      </c>
      <c r="N47" s="639">
        <f t="shared" si="77"/>
        <v>2.6</v>
      </c>
      <c r="R47" s="24"/>
      <c r="S47" s="24"/>
      <c r="T47" s="21"/>
      <c r="U47" s="21"/>
      <c r="V47" s="21"/>
      <c r="W47" s="21"/>
      <c r="X47" s="21"/>
      <c r="Y47" s="21"/>
      <c r="Z47" s="21"/>
      <c r="AA47" s="21"/>
      <c r="AB47" s="21"/>
      <c r="AC47" s="21"/>
      <c r="AD47" s="21"/>
      <c r="AE47" s="21"/>
    </row>
    <row r="48" spans="1:31" ht="13.5" thickBot="1" x14ac:dyDescent="0.25">
      <c r="A48" s="248" t="s">
        <v>411</v>
      </c>
      <c r="B48" s="248"/>
      <c r="C48" s="248">
        <f>C46*C47</f>
        <v>0</v>
      </c>
      <c r="D48" s="248">
        <f t="shared" ref="D48:N48" si="78">D46*D47</f>
        <v>0</v>
      </c>
      <c r="E48" s="248">
        <f t="shared" si="78"/>
        <v>152941.17647058825</v>
      </c>
      <c r="F48" s="248">
        <f t="shared" si="78"/>
        <v>0</v>
      </c>
      <c r="G48" s="248">
        <f t="shared" si="78"/>
        <v>91764.705882352951</v>
      </c>
      <c r="H48" s="248">
        <f t="shared" si="78"/>
        <v>0</v>
      </c>
      <c r="I48" s="248">
        <f t="shared" si="78"/>
        <v>0</v>
      </c>
      <c r="J48" s="248">
        <f t="shared" si="78"/>
        <v>0</v>
      </c>
      <c r="K48" s="248">
        <f t="shared" si="78"/>
        <v>0</v>
      </c>
      <c r="L48" s="248">
        <f t="shared" si="78"/>
        <v>0</v>
      </c>
      <c r="M48" s="248">
        <f t="shared" si="78"/>
        <v>0</v>
      </c>
      <c r="N48" s="248">
        <f t="shared" si="78"/>
        <v>0</v>
      </c>
      <c r="R48" s="24"/>
      <c r="S48" s="24"/>
      <c r="T48" s="21"/>
      <c r="U48" s="21"/>
      <c r="V48" s="21"/>
      <c r="W48" s="21"/>
      <c r="X48" s="21"/>
      <c r="Y48" s="21"/>
      <c r="Z48" s="21"/>
      <c r="AA48" s="21"/>
      <c r="AB48" s="21"/>
      <c r="AC48" s="21"/>
      <c r="AD48" s="21"/>
      <c r="AE48" s="21"/>
    </row>
    <row r="49" spans="1:31" x14ac:dyDescent="0.2">
      <c r="A49" s="22"/>
      <c r="B49" s="3"/>
      <c r="C49" s="3"/>
      <c r="D49" s="3"/>
      <c r="E49" s="3"/>
      <c r="F49" s="3"/>
      <c r="G49" s="3"/>
      <c r="H49" s="3"/>
      <c r="I49" s="3"/>
      <c r="J49" s="3"/>
      <c r="K49" s="3"/>
      <c r="L49" s="3"/>
      <c r="M49" s="3"/>
      <c r="N49" s="3"/>
      <c r="R49" s="24"/>
      <c r="S49" s="24"/>
      <c r="T49" s="21"/>
      <c r="U49" s="21"/>
      <c r="V49" s="21"/>
      <c r="W49" s="21"/>
      <c r="X49" s="21"/>
      <c r="Y49" s="21"/>
      <c r="Z49" s="21"/>
      <c r="AA49" s="21"/>
      <c r="AB49" s="21"/>
      <c r="AC49" s="21"/>
      <c r="AD49" s="21"/>
      <c r="AE49" s="21"/>
    </row>
    <row r="50" spans="1:31" ht="16.5" thickBot="1" x14ac:dyDescent="0.3">
      <c r="A50" s="16" t="s">
        <v>361</v>
      </c>
      <c r="R50" s="24"/>
      <c r="S50" s="24"/>
      <c r="T50" s="21"/>
      <c r="U50" s="21"/>
      <c r="V50" s="21"/>
      <c r="W50" s="21"/>
      <c r="X50" s="21"/>
      <c r="Y50" s="21"/>
      <c r="Z50" s="21"/>
      <c r="AA50" s="21"/>
      <c r="AB50" s="21"/>
      <c r="AC50" s="21"/>
      <c r="AD50" s="21"/>
      <c r="AE50" s="21"/>
    </row>
    <row r="51" spans="1:31" ht="13.5" thickBot="1" x14ac:dyDescent="0.25">
      <c r="A51" s="19" t="s">
        <v>363</v>
      </c>
      <c r="B51" s="771">
        <v>220</v>
      </c>
      <c r="C51" s="19" t="str">
        <f t="shared" ref="C51:N51" si="79">C18</f>
        <v>Mar</v>
      </c>
      <c r="D51" s="19" t="str">
        <f t="shared" si="79"/>
        <v>Apr</v>
      </c>
      <c r="E51" s="19" t="str">
        <f t="shared" si="79"/>
        <v>May</v>
      </c>
      <c r="F51" s="19" t="str">
        <f t="shared" si="79"/>
        <v>Jun</v>
      </c>
      <c r="G51" s="19" t="str">
        <f t="shared" si="79"/>
        <v>Jul</v>
      </c>
      <c r="H51" s="19" t="str">
        <f t="shared" si="79"/>
        <v>Aug</v>
      </c>
      <c r="I51" s="19" t="str">
        <f t="shared" si="79"/>
        <v>Sep</v>
      </c>
      <c r="J51" s="19" t="str">
        <f t="shared" si="79"/>
        <v>Oct</v>
      </c>
      <c r="K51" s="19" t="str">
        <f t="shared" si="79"/>
        <v>Nov</v>
      </c>
      <c r="L51" s="19" t="str">
        <f t="shared" si="79"/>
        <v>Dec</v>
      </c>
      <c r="M51" s="19" t="str">
        <f t="shared" si="79"/>
        <v>Jan</v>
      </c>
      <c r="N51" s="19" t="str">
        <f t="shared" si="79"/>
        <v>Feb</v>
      </c>
      <c r="R51" s="24"/>
      <c r="S51" s="24"/>
      <c r="T51" s="21"/>
      <c r="U51" s="21"/>
      <c r="V51" s="21"/>
      <c r="W51" s="21"/>
      <c r="X51" s="21"/>
      <c r="Y51" s="21"/>
      <c r="Z51" s="21"/>
      <c r="AA51" s="21"/>
      <c r="AB51" s="21"/>
      <c r="AC51" s="21"/>
      <c r="AD51" s="21"/>
      <c r="AE51" s="21"/>
    </row>
    <row r="52" spans="1:31" x14ac:dyDescent="0.2">
      <c r="A52" s="242" t="s">
        <v>468</v>
      </c>
      <c r="B52" s="189" t="s">
        <v>88</v>
      </c>
      <c r="C52" s="640">
        <f>IF('P1 Feeding'!D22&lt;0,-'P1 Feeding'!D22,0)</f>
        <v>0</v>
      </c>
      <c r="D52" s="640">
        <f>IF('P1 Feeding'!E22&lt;0,-'P1 Feeding'!E22,0)</f>
        <v>0</v>
      </c>
      <c r="E52" s="640">
        <f>IF('P1 Feeding'!F22&lt;0,-'P1 Feeding'!F22,0)</f>
        <v>0</v>
      </c>
      <c r="F52" s="640">
        <f>IF('P1 Feeding'!G22&lt;0,-'P1 Feeding'!G22,0)</f>
        <v>0</v>
      </c>
      <c r="G52" s="640">
        <f>IF('P1 Feeding'!H22&lt;0,-'P1 Feeding'!H22,0)</f>
        <v>0</v>
      </c>
      <c r="H52" s="640">
        <f>IF('P1 Feeding'!I22&lt;0,-'P1 Feeding'!I22,0)</f>
        <v>0</v>
      </c>
      <c r="I52" s="640">
        <f>IF('P1 Feeding'!J22&lt;0,-'P1 Feeding'!J22,0)</f>
        <v>0</v>
      </c>
      <c r="J52" s="640">
        <f>IF('P1 Feeding'!K22&lt;0,-'P1 Feeding'!K22,0)</f>
        <v>250000</v>
      </c>
      <c r="K52" s="640">
        <f>IF('P1 Feeding'!L22&lt;0,-'P1 Feeding'!L22,0)</f>
        <v>320000</v>
      </c>
      <c r="L52" s="640">
        <f>IF('P1 Feeding'!M22&lt;0,-'P1 Feeding'!M22,0)</f>
        <v>0</v>
      </c>
      <c r="M52" s="640">
        <f>IF('P1 Feeding'!N22&lt;0,-'P1 Feeding'!N22,0)</f>
        <v>0</v>
      </c>
      <c r="N52" s="640">
        <f>IF('P1 Feeding'!O22&lt;0,-'P1 Feeding'!O22,0)</f>
        <v>0</v>
      </c>
      <c r="R52" s="24"/>
      <c r="T52" s="21"/>
      <c r="U52" s="21"/>
      <c r="V52" s="21"/>
      <c r="W52" s="21"/>
      <c r="X52" s="21"/>
      <c r="Y52" s="21"/>
      <c r="Z52" s="21"/>
      <c r="AA52" s="21"/>
      <c r="AB52" s="21"/>
      <c r="AC52" s="21"/>
      <c r="AD52" s="21"/>
      <c r="AE52" s="21"/>
    </row>
    <row r="53" spans="1:31" x14ac:dyDescent="0.2">
      <c r="A53" s="244" t="s">
        <v>470</v>
      </c>
      <c r="B53" s="245" t="s">
        <v>40</v>
      </c>
      <c r="C53" s="642">
        <f>IF('P1 Feeding'!D22&gt;0,'P1 Feeding'!D22,0)</f>
        <v>0</v>
      </c>
      <c r="D53" s="642">
        <f>IF('P1 Feeding'!E22&gt;0,'P1 Feeding'!E22,0)</f>
        <v>0</v>
      </c>
      <c r="E53" s="642">
        <f>IF('P1 Feeding'!F22&gt;0,'P1 Feeding'!F22,0)</f>
        <v>0</v>
      </c>
      <c r="F53" s="642">
        <f>IF('P1 Feeding'!G22&gt;0,'P1 Feeding'!G22,0)</f>
        <v>0</v>
      </c>
      <c r="G53" s="642">
        <f>IF('P1 Feeding'!H22&gt;0,'P1 Feeding'!H22,0)</f>
        <v>0</v>
      </c>
      <c r="H53" s="642">
        <f>IF('P1 Feeding'!I22&gt;0,'P1 Feeding'!I22,0)</f>
        <v>0</v>
      </c>
      <c r="I53" s="642">
        <f>IF('P1 Feeding'!J22&gt;0,'P1 Feeding'!J22,0)</f>
        <v>0</v>
      </c>
      <c r="J53" s="642">
        <f>IF('P1 Feeding'!K22&gt;0,'P1 Feeding'!K22,0)</f>
        <v>0</v>
      </c>
      <c r="K53" s="642">
        <f>IF('P1 Feeding'!L22&gt;0,'P1 Feeding'!L22,0)</f>
        <v>0</v>
      </c>
      <c r="L53" s="642">
        <f>IF('P1 Feeding'!M22&gt;0,'P1 Feeding'!M22,0)</f>
        <v>0</v>
      </c>
      <c r="M53" s="642">
        <f>IF('P1 Feeding'!N22&gt;0,'P1 Feeding'!N22,0)</f>
        <v>0</v>
      </c>
      <c r="N53" s="642">
        <f>IF('P1 Feeding'!O22&gt;0,'P1 Feeding'!O22,0)</f>
        <v>0</v>
      </c>
      <c r="R53" s="24"/>
      <c r="S53" s="24"/>
      <c r="T53" s="21"/>
      <c r="U53" s="21"/>
      <c r="V53" s="21"/>
      <c r="W53" s="21"/>
      <c r="X53" s="21"/>
      <c r="Y53" s="21"/>
      <c r="Z53" s="21"/>
      <c r="AA53" s="21"/>
      <c r="AB53" s="21"/>
      <c r="AC53" s="21"/>
      <c r="AD53" s="21"/>
      <c r="AE53" s="21"/>
    </row>
    <row r="54" spans="1:31" x14ac:dyDescent="0.2">
      <c r="A54" s="244" t="s">
        <v>471</v>
      </c>
      <c r="B54" s="245" t="s">
        <v>89</v>
      </c>
      <c r="C54" s="309">
        <v>0.8</v>
      </c>
      <c r="D54" s="309">
        <f>C54</f>
        <v>0.8</v>
      </c>
      <c r="E54" s="309">
        <f t="shared" ref="E54:N54" si="80">D54</f>
        <v>0.8</v>
      </c>
      <c r="F54" s="309">
        <f t="shared" si="80"/>
        <v>0.8</v>
      </c>
      <c r="G54" s="309">
        <f t="shared" si="80"/>
        <v>0.8</v>
      </c>
      <c r="H54" s="309">
        <f t="shared" si="80"/>
        <v>0.8</v>
      </c>
      <c r="I54" s="309">
        <f t="shared" si="80"/>
        <v>0.8</v>
      </c>
      <c r="J54" s="309">
        <f t="shared" si="80"/>
        <v>0.8</v>
      </c>
      <c r="K54" s="309">
        <f t="shared" si="80"/>
        <v>0.8</v>
      </c>
      <c r="L54" s="309">
        <f t="shared" si="80"/>
        <v>0.8</v>
      </c>
      <c r="M54" s="309">
        <f t="shared" si="80"/>
        <v>0.8</v>
      </c>
      <c r="N54" s="309">
        <f t="shared" si="80"/>
        <v>0.8</v>
      </c>
      <c r="R54" s="24"/>
      <c r="S54" s="24"/>
      <c r="T54" s="21"/>
      <c r="U54" s="21"/>
      <c r="V54" s="21"/>
      <c r="W54" s="21"/>
      <c r="X54" s="21"/>
      <c r="Y54" s="21"/>
      <c r="Z54" s="21"/>
      <c r="AA54" s="21"/>
      <c r="AB54" s="21"/>
      <c r="AC54" s="21"/>
      <c r="AD54" s="21"/>
      <c r="AE54" s="21"/>
    </row>
    <row r="55" spans="1:31" x14ac:dyDescent="0.2">
      <c r="A55" s="244" t="s">
        <v>93</v>
      </c>
      <c r="B55" s="245" t="s">
        <v>41</v>
      </c>
      <c r="C55" s="309">
        <v>0.75</v>
      </c>
      <c r="D55" s="309">
        <f t="shared" ref="D55:N55" si="81">C55</f>
        <v>0.75</v>
      </c>
      <c r="E55" s="309">
        <f t="shared" si="81"/>
        <v>0.75</v>
      </c>
      <c r="F55" s="309">
        <f t="shared" si="81"/>
        <v>0.75</v>
      </c>
      <c r="G55" s="309">
        <f t="shared" si="81"/>
        <v>0.75</v>
      </c>
      <c r="H55" s="309">
        <f t="shared" si="81"/>
        <v>0.75</v>
      </c>
      <c r="I55" s="309">
        <f t="shared" si="81"/>
        <v>0.75</v>
      </c>
      <c r="J55" s="309">
        <f t="shared" si="81"/>
        <v>0.75</v>
      </c>
      <c r="K55" s="309">
        <f t="shared" si="81"/>
        <v>0.75</v>
      </c>
      <c r="L55" s="309">
        <f t="shared" si="81"/>
        <v>0.75</v>
      </c>
      <c r="M55" s="309">
        <f t="shared" si="81"/>
        <v>0.75</v>
      </c>
      <c r="N55" s="309">
        <f t="shared" si="81"/>
        <v>0.75</v>
      </c>
      <c r="R55" s="24"/>
      <c r="S55" s="24"/>
      <c r="T55" s="21"/>
      <c r="U55" s="21"/>
      <c r="V55" s="21"/>
      <c r="W55" s="21"/>
      <c r="X55" s="21"/>
      <c r="Y55" s="21"/>
      <c r="Z55" s="21"/>
      <c r="AA55" s="21"/>
      <c r="AB55" s="21"/>
      <c r="AC55" s="21"/>
      <c r="AD55" s="21"/>
      <c r="AE55" s="21"/>
    </row>
    <row r="56" spans="1:31" x14ac:dyDescent="0.2">
      <c r="A56" s="244" t="s">
        <v>469</v>
      </c>
      <c r="B56" s="245" t="s">
        <v>40</v>
      </c>
      <c r="C56" s="642">
        <f>C53/C54/C55</f>
        <v>0</v>
      </c>
      <c r="D56" s="642">
        <f t="shared" ref="D56:N56" si="82">D53/D54/D55</f>
        <v>0</v>
      </c>
      <c r="E56" s="642">
        <f t="shared" si="82"/>
        <v>0</v>
      </c>
      <c r="F56" s="642">
        <f t="shared" si="82"/>
        <v>0</v>
      </c>
      <c r="G56" s="642">
        <f t="shared" si="82"/>
        <v>0</v>
      </c>
      <c r="H56" s="642">
        <f t="shared" si="82"/>
        <v>0</v>
      </c>
      <c r="I56" s="642">
        <f t="shared" si="82"/>
        <v>0</v>
      </c>
      <c r="J56" s="642">
        <f t="shared" si="82"/>
        <v>0</v>
      </c>
      <c r="K56" s="642">
        <f t="shared" si="82"/>
        <v>0</v>
      </c>
      <c r="L56" s="642">
        <f t="shared" si="82"/>
        <v>0</v>
      </c>
      <c r="M56" s="642">
        <f t="shared" si="82"/>
        <v>0</v>
      </c>
      <c r="N56" s="642">
        <f t="shared" si="82"/>
        <v>0</v>
      </c>
      <c r="R56" s="24"/>
      <c r="S56" s="24"/>
      <c r="T56" s="21"/>
      <c r="U56" s="21"/>
      <c r="V56" s="21"/>
      <c r="W56" s="21"/>
      <c r="X56" s="21"/>
      <c r="Y56" s="21"/>
      <c r="Z56" s="21"/>
      <c r="AA56" s="21"/>
      <c r="AB56" s="21"/>
      <c r="AC56" s="21"/>
      <c r="AD56" s="21"/>
      <c r="AE56" s="21"/>
    </row>
    <row r="57" spans="1:31" ht="13.5" thickBot="1" x14ac:dyDescent="0.25">
      <c r="A57" s="246" t="s">
        <v>466</v>
      </c>
      <c r="B57" s="644">
        <v>0</v>
      </c>
      <c r="C57" s="247">
        <f>B57+C52-C56</f>
        <v>0</v>
      </c>
      <c r="D57" s="247">
        <f t="shared" ref="D57:N57" si="83">C57+D52-D56</f>
        <v>0</v>
      </c>
      <c r="E57" s="247">
        <f t="shared" si="83"/>
        <v>0</v>
      </c>
      <c r="F57" s="247">
        <f t="shared" si="83"/>
        <v>0</v>
      </c>
      <c r="G57" s="247">
        <f t="shared" si="83"/>
        <v>0</v>
      </c>
      <c r="H57" s="247">
        <f t="shared" si="83"/>
        <v>0</v>
      </c>
      <c r="I57" s="247">
        <f t="shared" si="83"/>
        <v>0</v>
      </c>
      <c r="J57" s="247">
        <f t="shared" si="83"/>
        <v>250000</v>
      </c>
      <c r="K57" s="247">
        <f t="shared" si="83"/>
        <v>570000</v>
      </c>
      <c r="L57" s="247">
        <f t="shared" si="83"/>
        <v>570000</v>
      </c>
      <c r="M57" s="247">
        <f t="shared" si="83"/>
        <v>570000</v>
      </c>
      <c r="N57" s="247">
        <f t="shared" si="83"/>
        <v>570000</v>
      </c>
      <c r="O57" s="2">
        <f>MIN(C57:N57)</f>
        <v>0</v>
      </c>
      <c r="R57" s="24"/>
      <c r="S57" s="24"/>
      <c r="T57" s="21"/>
      <c r="U57" s="21"/>
      <c r="V57" s="21"/>
      <c r="W57" s="21"/>
      <c r="X57" s="21"/>
      <c r="Y57" s="21"/>
      <c r="Z57" s="21"/>
      <c r="AA57" s="21"/>
      <c r="AB57" s="21"/>
      <c r="AC57" s="21"/>
      <c r="AD57" s="21"/>
      <c r="AE57" s="21"/>
    </row>
    <row r="58" spans="1:31" ht="13.5" thickBot="1" x14ac:dyDescent="0.25">
      <c r="A58" s="770" t="s">
        <v>502</v>
      </c>
      <c r="B58" s="769">
        <v>250</v>
      </c>
      <c r="C58" s="3"/>
      <c r="D58" s="3"/>
      <c r="E58" s="3"/>
      <c r="F58" s="3"/>
      <c r="G58" s="3"/>
      <c r="H58" s="3"/>
      <c r="I58" s="3"/>
      <c r="J58" s="3"/>
      <c r="K58" s="3"/>
      <c r="L58" s="3"/>
      <c r="M58" s="3"/>
      <c r="N58" s="3"/>
      <c r="R58" s="24"/>
      <c r="S58" s="24"/>
      <c r="T58" s="21"/>
      <c r="U58" s="21"/>
      <c r="V58" s="21"/>
      <c r="W58" s="21"/>
      <c r="X58" s="21"/>
      <c r="Y58" s="21"/>
      <c r="Z58" s="21"/>
      <c r="AA58" s="21"/>
      <c r="AB58" s="21"/>
      <c r="AC58" s="21"/>
      <c r="AD58" s="21"/>
      <c r="AE58" s="21"/>
    </row>
    <row r="59" spans="1:31" x14ac:dyDescent="0.2">
      <c r="A59" s="22"/>
      <c r="B59" s="3"/>
      <c r="C59" s="3"/>
      <c r="D59" s="3"/>
      <c r="E59" s="3"/>
      <c r="F59" s="3"/>
      <c r="G59" s="3"/>
      <c r="H59" s="3"/>
      <c r="I59" s="3"/>
      <c r="J59" s="3"/>
      <c r="K59" s="3"/>
      <c r="L59" s="3"/>
      <c r="M59" s="3"/>
      <c r="N59" s="3"/>
      <c r="R59" s="24"/>
      <c r="S59" s="24"/>
      <c r="T59" s="21"/>
      <c r="U59" s="21"/>
      <c r="V59" s="21"/>
      <c r="W59" s="21"/>
      <c r="X59" s="21"/>
      <c r="Y59" s="21"/>
      <c r="Z59" s="21"/>
      <c r="AA59" s="21"/>
      <c r="AB59" s="21"/>
      <c r="AC59" s="21"/>
      <c r="AD59" s="21"/>
      <c r="AE59" s="21"/>
    </row>
    <row r="60" spans="1:31" ht="16.5" thickBot="1" x14ac:dyDescent="0.3">
      <c r="A60" s="16" t="s">
        <v>488</v>
      </c>
    </row>
    <row r="61" spans="1:31" x14ac:dyDescent="0.2">
      <c r="A61" s="19">
        <f>'P1 Area'!P12</f>
        <v>0</v>
      </c>
      <c r="B61" s="19"/>
      <c r="C61" s="19"/>
      <c r="D61" s="19" t="str">
        <f>C51</f>
        <v>Mar</v>
      </c>
      <c r="E61" s="19" t="str">
        <f t="shared" ref="E61:O61" si="84">D51</f>
        <v>Apr</v>
      </c>
      <c r="F61" s="19" t="str">
        <f t="shared" si="84"/>
        <v>May</v>
      </c>
      <c r="G61" s="19" t="str">
        <f t="shared" si="84"/>
        <v>Jun</v>
      </c>
      <c r="H61" s="19" t="str">
        <f t="shared" si="84"/>
        <v>Jul</v>
      </c>
      <c r="I61" s="19" t="str">
        <f t="shared" si="84"/>
        <v>Aug</v>
      </c>
      <c r="J61" s="19" t="str">
        <f t="shared" si="84"/>
        <v>Sep</v>
      </c>
      <c r="K61" s="19" t="str">
        <f t="shared" si="84"/>
        <v>Oct</v>
      </c>
      <c r="L61" s="19" t="str">
        <f t="shared" si="84"/>
        <v>Nov</v>
      </c>
      <c r="M61" s="19" t="str">
        <f t="shared" si="84"/>
        <v>Dec</v>
      </c>
      <c r="N61" s="19" t="str">
        <f t="shared" si="84"/>
        <v>Jan</v>
      </c>
      <c r="O61" s="19" t="str">
        <f t="shared" si="84"/>
        <v>Feb</v>
      </c>
      <c r="R61" s="558" t="s">
        <v>365</v>
      </c>
      <c r="S61" s="559"/>
      <c r="T61" s="556" t="str">
        <f>D61</f>
        <v>Mar</v>
      </c>
      <c r="U61" s="19" t="str">
        <f t="shared" ref="U61:AE61" si="85">E61</f>
        <v>Apr</v>
      </c>
      <c r="V61" s="19" t="str">
        <f t="shared" si="85"/>
        <v>May</v>
      </c>
      <c r="W61" s="19" t="str">
        <f t="shared" si="85"/>
        <v>Jun</v>
      </c>
      <c r="X61" s="19" t="str">
        <f t="shared" si="85"/>
        <v>Jul</v>
      </c>
      <c r="Y61" s="19" t="str">
        <f t="shared" si="85"/>
        <v>Aug</v>
      </c>
      <c r="Z61" s="19" t="str">
        <f t="shared" si="85"/>
        <v>Sep</v>
      </c>
      <c r="AA61" s="19" t="str">
        <f t="shared" si="85"/>
        <v>Oct</v>
      </c>
      <c r="AB61" s="19" t="str">
        <f t="shared" si="85"/>
        <v>Nov</v>
      </c>
      <c r="AC61" s="19" t="str">
        <f t="shared" si="85"/>
        <v>Dec</v>
      </c>
      <c r="AD61" s="19" t="str">
        <f t="shared" si="85"/>
        <v>Jan</v>
      </c>
      <c r="AE61" s="557" t="str">
        <f t="shared" si="85"/>
        <v>Feb</v>
      </c>
    </row>
    <row r="62" spans="1:31" x14ac:dyDescent="0.2">
      <c r="A62" s="15" t="s">
        <v>112</v>
      </c>
      <c r="B62" s="188" t="s">
        <v>90</v>
      </c>
      <c r="C62" s="189" t="s">
        <v>290</v>
      </c>
      <c r="D62" s="307"/>
      <c r="E62" s="307"/>
      <c r="F62" s="307"/>
      <c r="G62" s="307"/>
      <c r="H62" s="307"/>
      <c r="I62" s="307"/>
      <c r="J62" s="307"/>
      <c r="K62" s="307">
        <v>3000</v>
      </c>
      <c r="L62" s="307">
        <v>3000</v>
      </c>
      <c r="M62" s="307"/>
      <c r="N62" s="307"/>
      <c r="O62" s="308"/>
      <c r="R62" s="552" t="s">
        <v>370</v>
      </c>
      <c r="S62" s="560">
        <f>MAX(D63:O63)</f>
        <v>0</v>
      </c>
      <c r="T62" s="567"/>
      <c r="U62" s="568"/>
      <c r="V62" s="568"/>
      <c r="W62" s="568"/>
      <c r="X62" s="568"/>
      <c r="Y62" s="568"/>
      <c r="Z62" s="568"/>
      <c r="AA62" s="568"/>
      <c r="AB62" s="568"/>
      <c r="AC62" s="568"/>
      <c r="AD62" s="568"/>
      <c r="AE62" s="560"/>
    </row>
    <row r="63" spans="1:31" x14ac:dyDescent="0.2">
      <c r="A63" s="311"/>
      <c r="B63" s="244" t="s">
        <v>92</v>
      </c>
      <c r="C63" s="245" t="s">
        <v>22</v>
      </c>
      <c r="D63" s="635">
        <f>'P1 Area'!Q12</f>
        <v>0</v>
      </c>
      <c r="E63" s="635">
        <f>'P1 Area'!R12</f>
        <v>0</v>
      </c>
      <c r="F63" s="635">
        <f>'P1 Area'!S12</f>
        <v>0</v>
      </c>
      <c r="G63" s="635">
        <f>'P1 Area'!T12</f>
        <v>0</v>
      </c>
      <c r="H63" s="635">
        <f>'P1 Area'!U12</f>
        <v>0</v>
      </c>
      <c r="I63" s="635">
        <f>'P1 Area'!V12</f>
        <v>0</v>
      </c>
      <c r="J63" s="635">
        <f>'P1 Area'!W12</f>
        <v>0</v>
      </c>
      <c r="K63" s="635">
        <f>'P1 Area'!X12</f>
        <v>0</v>
      </c>
      <c r="L63" s="635">
        <f>'P1 Area'!Y12</f>
        <v>0</v>
      </c>
      <c r="M63" s="635">
        <f>'P1 Area'!Z12</f>
        <v>0</v>
      </c>
      <c r="N63" s="635">
        <f>'P1 Area'!AA12</f>
        <v>0</v>
      </c>
      <c r="O63" s="635">
        <f>'P1 Area'!AB12</f>
        <v>0</v>
      </c>
      <c r="R63" s="553" t="s">
        <v>369</v>
      </c>
      <c r="S63" s="566">
        <f>SUM(T63:AE63)</f>
        <v>1</v>
      </c>
      <c r="T63" s="563"/>
      <c r="U63" s="562"/>
      <c r="V63" s="562">
        <v>0.25</v>
      </c>
      <c r="W63" s="562">
        <v>0.25</v>
      </c>
      <c r="X63" s="562">
        <v>0.25</v>
      </c>
      <c r="Y63" s="562">
        <v>0.25</v>
      </c>
      <c r="Z63" s="562"/>
      <c r="AA63" s="562"/>
      <c r="AB63" s="562"/>
      <c r="AC63" s="562"/>
      <c r="AD63" s="562"/>
      <c r="AE63" s="564"/>
    </row>
    <row r="64" spans="1:31" ht="13.5" thickBot="1" x14ac:dyDescent="0.25">
      <c r="A64" s="13" t="e">
        <f>SUM(D64:O64)/MAX(D63:O63)</f>
        <v>#DIV/0!</v>
      </c>
      <c r="B64" s="13" t="s">
        <v>472</v>
      </c>
      <c r="C64" s="13" t="s">
        <v>40</v>
      </c>
      <c r="D64" s="646">
        <f>D62*D63</f>
        <v>0</v>
      </c>
      <c r="E64" s="646">
        <f t="shared" ref="E64:O64" si="86">E62*E63</f>
        <v>0</v>
      </c>
      <c r="F64" s="646">
        <f t="shared" si="86"/>
        <v>0</v>
      </c>
      <c r="G64" s="646">
        <f t="shared" si="86"/>
        <v>0</v>
      </c>
      <c r="H64" s="646">
        <f t="shared" si="86"/>
        <v>0</v>
      </c>
      <c r="I64" s="646">
        <f t="shared" si="86"/>
        <v>0</v>
      </c>
      <c r="J64" s="646">
        <f t="shared" si="86"/>
        <v>0</v>
      </c>
      <c r="K64" s="646">
        <f t="shared" si="86"/>
        <v>0</v>
      </c>
      <c r="L64" s="646">
        <f t="shared" si="86"/>
        <v>0</v>
      </c>
      <c r="M64" s="646">
        <f t="shared" si="86"/>
        <v>0</v>
      </c>
      <c r="N64" s="646">
        <f t="shared" si="86"/>
        <v>0</v>
      </c>
      <c r="O64" s="646">
        <f t="shared" si="86"/>
        <v>0</v>
      </c>
      <c r="R64" s="554" t="s">
        <v>371</v>
      </c>
      <c r="S64" s="2">
        <v>3850</v>
      </c>
      <c r="T64" s="565">
        <f t="shared" ref="T64:AE64" si="87">$S$65*T63</f>
        <v>0</v>
      </c>
      <c r="U64" s="247">
        <f t="shared" si="87"/>
        <v>0</v>
      </c>
      <c r="V64" s="247">
        <f t="shared" si="87"/>
        <v>0</v>
      </c>
      <c r="W64" s="247">
        <f t="shared" si="87"/>
        <v>0</v>
      </c>
      <c r="X64" s="247">
        <f t="shared" si="87"/>
        <v>0</v>
      </c>
      <c r="Y64" s="247">
        <f t="shared" si="87"/>
        <v>0</v>
      </c>
      <c r="Z64" s="247">
        <f t="shared" si="87"/>
        <v>0</v>
      </c>
      <c r="AA64" s="247">
        <f t="shared" si="87"/>
        <v>0</v>
      </c>
      <c r="AB64" s="247">
        <f t="shared" si="87"/>
        <v>0</v>
      </c>
      <c r="AC64" s="247">
        <f t="shared" si="87"/>
        <v>0</v>
      </c>
      <c r="AD64" s="247">
        <f t="shared" si="87"/>
        <v>0</v>
      </c>
      <c r="AE64" s="561">
        <f t="shared" si="87"/>
        <v>0</v>
      </c>
    </row>
    <row r="65" spans="1:31" ht="13.5" thickBot="1" x14ac:dyDescent="0.25">
      <c r="A65" s="13"/>
      <c r="B65" s="13" t="s">
        <v>473</v>
      </c>
      <c r="C65" s="13" t="s">
        <v>40</v>
      </c>
      <c r="D65" s="646">
        <f>'P1 Feeding'!D16</f>
        <v>0</v>
      </c>
      <c r="E65" s="646">
        <f>'P1 Feeding'!E16</f>
        <v>0</v>
      </c>
      <c r="F65" s="646">
        <f>'P1 Feeding'!F16</f>
        <v>0</v>
      </c>
      <c r="G65" s="646">
        <f>'P1 Feeding'!G16</f>
        <v>0</v>
      </c>
      <c r="H65" s="646">
        <f>'P1 Feeding'!H16</f>
        <v>0</v>
      </c>
      <c r="I65" s="646">
        <f>'P1 Feeding'!I16</f>
        <v>0</v>
      </c>
      <c r="J65" s="646">
        <f>'P1 Feeding'!J16</f>
        <v>0</v>
      </c>
      <c r="K65" s="646">
        <f>'P1 Feeding'!K16</f>
        <v>0</v>
      </c>
      <c r="L65" s="646">
        <f>'P1 Feeding'!L16</f>
        <v>0</v>
      </c>
      <c r="M65" s="646">
        <f>'P1 Feeding'!M16</f>
        <v>0</v>
      </c>
      <c r="N65" s="646">
        <f>'P1 Feeding'!N16</f>
        <v>0</v>
      </c>
      <c r="O65" s="646">
        <f>'P1 Feeding'!O16</f>
        <v>0</v>
      </c>
      <c r="R65" s="555" t="s">
        <v>366</v>
      </c>
      <c r="S65" s="561">
        <f>S64*S62</f>
        <v>0</v>
      </c>
    </row>
    <row r="66" spans="1:31" ht="13.5" thickBot="1" x14ac:dyDescent="0.25">
      <c r="A66" s="13"/>
      <c r="B66" s="13" t="s">
        <v>474</v>
      </c>
      <c r="C66" s="13" t="s">
        <v>41</v>
      </c>
      <c r="D66" s="310">
        <v>0.8</v>
      </c>
      <c r="E66" s="310">
        <f>D66</f>
        <v>0.8</v>
      </c>
      <c r="F66" s="310">
        <f t="shared" ref="F66:O66" si="88">E66</f>
        <v>0.8</v>
      </c>
      <c r="G66" s="310">
        <f t="shared" si="88"/>
        <v>0.8</v>
      </c>
      <c r="H66" s="310">
        <f t="shared" si="88"/>
        <v>0.8</v>
      </c>
      <c r="I66" s="310">
        <f t="shared" si="88"/>
        <v>0.8</v>
      </c>
      <c r="J66" s="310">
        <f t="shared" si="88"/>
        <v>0.8</v>
      </c>
      <c r="K66" s="310">
        <f t="shared" si="88"/>
        <v>0.8</v>
      </c>
      <c r="L66" s="310">
        <f t="shared" si="88"/>
        <v>0.8</v>
      </c>
      <c r="M66" s="310">
        <f t="shared" si="88"/>
        <v>0.8</v>
      </c>
      <c r="N66" s="310">
        <f t="shared" si="88"/>
        <v>0.8</v>
      </c>
      <c r="O66" s="310">
        <f t="shared" si="88"/>
        <v>0.8</v>
      </c>
    </row>
    <row r="67" spans="1:31" ht="13.5" thickBot="1" x14ac:dyDescent="0.25">
      <c r="A67" s="13">
        <f>MIN(D69:O69)</f>
        <v>0</v>
      </c>
      <c r="B67" s="13" t="s">
        <v>475</v>
      </c>
      <c r="C67" s="13" t="s">
        <v>40</v>
      </c>
      <c r="D67" s="646">
        <f>D65/D66</f>
        <v>0</v>
      </c>
      <c r="E67" s="646">
        <f t="shared" ref="E67:O67" si="89">E65/E66</f>
        <v>0</v>
      </c>
      <c r="F67" s="646">
        <f t="shared" si="89"/>
        <v>0</v>
      </c>
      <c r="G67" s="646">
        <f t="shared" si="89"/>
        <v>0</v>
      </c>
      <c r="H67" s="646">
        <f t="shared" si="89"/>
        <v>0</v>
      </c>
      <c r="I67" s="646">
        <f t="shared" si="89"/>
        <v>0</v>
      </c>
      <c r="J67" s="646">
        <f t="shared" si="89"/>
        <v>0</v>
      </c>
      <c r="K67" s="646">
        <f t="shared" si="89"/>
        <v>0</v>
      </c>
      <c r="L67" s="646">
        <f t="shared" si="89"/>
        <v>0</v>
      </c>
      <c r="M67" s="646">
        <f t="shared" si="89"/>
        <v>0</v>
      </c>
      <c r="N67" s="646">
        <f t="shared" si="89"/>
        <v>0</v>
      </c>
      <c r="O67" s="646">
        <f t="shared" si="89"/>
        <v>0</v>
      </c>
      <c r="R67" s="773" t="s">
        <v>500</v>
      </c>
      <c r="S67" s="762">
        <v>9</v>
      </c>
      <c r="T67" s="775">
        <f>S67/10.5</f>
        <v>0.8571428571428571</v>
      </c>
    </row>
    <row r="68" spans="1:31" ht="13.5" thickBot="1" x14ac:dyDescent="0.25">
      <c r="A68" s="13"/>
      <c r="B68" s="13" t="s">
        <v>495</v>
      </c>
      <c r="C68" s="13" t="s">
        <v>40</v>
      </c>
      <c r="D68" s="651">
        <f>-Trnsf!D15</f>
        <v>0</v>
      </c>
      <c r="E68" s="651">
        <f>-Trnsf!E15</f>
        <v>0</v>
      </c>
      <c r="F68" s="651">
        <f>-Trnsf!F15</f>
        <v>0</v>
      </c>
      <c r="G68" s="651">
        <f>-Trnsf!G15</f>
        <v>0</v>
      </c>
      <c r="H68" s="651">
        <f>-Trnsf!H15</f>
        <v>0</v>
      </c>
      <c r="I68" s="651">
        <f>-Trnsf!I15</f>
        <v>0</v>
      </c>
      <c r="J68" s="651">
        <f>-Trnsf!J15</f>
        <v>0</v>
      </c>
      <c r="K68" s="651">
        <f>-Trnsf!K15</f>
        <v>0</v>
      </c>
      <c r="L68" s="651">
        <f>-Trnsf!L15</f>
        <v>0</v>
      </c>
      <c r="M68" s="651">
        <f>-Trnsf!M15</f>
        <v>0</v>
      </c>
      <c r="N68" s="651">
        <f>-Trnsf!N15</f>
        <v>0</v>
      </c>
      <c r="O68" s="651">
        <f>-Trnsf!O15</f>
        <v>0</v>
      </c>
      <c r="R68" s="774" t="s">
        <v>501</v>
      </c>
      <c r="S68" s="764">
        <v>0</v>
      </c>
      <c r="T68" s="776">
        <f>1*(1-S68)*T67</f>
        <v>0.8571428571428571</v>
      </c>
    </row>
    <row r="69" spans="1:31" ht="13.5" thickBot="1" x14ac:dyDescent="0.25">
      <c r="A69" s="249" t="s">
        <v>466</v>
      </c>
      <c r="B69" s="645">
        <v>0</v>
      </c>
      <c r="C69" s="247" t="s">
        <v>87</v>
      </c>
      <c r="D69" s="247">
        <f>B69+D64-D67+D68</f>
        <v>0</v>
      </c>
      <c r="E69" s="247">
        <f>D69+E64-E67+E68</f>
        <v>0</v>
      </c>
      <c r="F69" s="247">
        <f t="shared" ref="F69:O69" si="90">E69+F64-F67+F68</f>
        <v>0</v>
      </c>
      <c r="G69" s="247">
        <f t="shared" si="90"/>
        <v>0</v>
      </c>
      <c r="H69" s="247">
        <f t="shared" si="90"/>
        <v>0</v>
      </c>
      <c r="I69" s="247">
        <f t="shared" si="90"/>
        <v>0</v>
      </c>
      <c r="J69" s="247">
        <f t="shared" si="90"/>
        <v>0</v>
      </c>
      <c r="K69" s="247">
        <f t="shared" si="90"/>
        <v>0</v>
      </c>
      <c r="L69" s="247">
        <f t="shared" si="90"/>
        <v>0</v>
      </c>
      <c r="M69" s="247">
        <f t="shared" si="90"/>
        <v>0</v>
      </c>
      <c r="N69" s="247">
        <f t="shared" si="90"/>
        <v>0</v>
      </c>
      <c r="O69" s="247">
        <f t="shared" si="90"/>
        <v>0</v>
      </c>
    </row>
    <row r="70" spans="1:31" ht="13.5" thickBot="1" x14ac:dyDescent="0.25">
      <c r="B70" s="3"/>
      <c r="C70" s="3"/>
      <c r="D70" s="3"/>
      <c r="E70" s="3"/>
      <c r="F70" s="3"/>
      <c r="G70" s="3"/>
      <c r="H70" s="3"/>
      <c r="I70" s="3"/>
      <c r="J70" s="3"/>
      <c r="K70" s="3"/>
      <c r="L70" s="3"/>
      <c r="M70" s="3"/>
      <c r="N70" s="3"/>
      <c r="O70" s="3"/>
    </row>
    <row r="71" spans="1:31" x14ac:dyDescent="0.2">
      <c r="A71" s="19">
        <f>'P1 Area'!P13</f>
        <v>0</v>
      </c>
      <c r="B71" s="19"/>
      <c r="C71" s="19"/>
      <c r="D71" s="19" t="str">
        <f>D61</f>
        <v>Mar</v>
      </c>
      <c r="E71" s="19" t="str">
        <f t="shared" ref="E71:O71" si="91">E61</f>
        <v>Apr</v>
      </c>
      <c r="F71" s="19" t="str">
        <f t="shared" si="91"/>
        <v>May</v>
      </c>
      <c r="G71" s="19" t="str">
        <f t="shared" si="91"/>
        <v>Jun</v>
      </c>
      <c r="H71" s="19" t="str">
        <f t="shared" si="91"/>
        <v>Jul</v>
      </c>
      <c r="I71" s="19" t="str">
        <f t="shared" si="91"/>
        <v>Aug</v>
      </c>
      <c r="J71" s="19" t="str">
        <f t="shared" si="91"/>
        <v>Sep</v>
      </c>
      <c r="K71" s="19" t="str">
        <f t="shared" si="91"/>
        <v>Oct</v>
      </c>
      <c r="L71" s="19" t="str">
        <f t="shared" si="91"/>
        <v>Nov</v>
      </c>
      <c r="M71" s="19" t="str">
        <f t="shared" si="91"/>
        <v>Dec</v>
      </c>
      <c r="N71" s="19" t="str">
        <f t="shared" si="91"/>
        <v>Jan</v>
      </c>
      <c r="O71" s="19" t="str">
        <f t="shared" si="91"/>
        <v>Feb</v>
      </c>
      <c r="R71" s="558" t="s">
        <v>365</v>
      </c>
      <c r="S71" s="559"/>
      <c r="T71" s="556" t="str">
        <f>D71</f>
        <v>Mar</v>
      </c>
      <c r="U71" s="19" t="str">
        <f t="shared" ref="U71:AE71" si="92">E71</f>
        <v>Apr</v>
      </c>
      <c r="V71" s="19" t="str">
        <f t="shared" si="92"/>
        <v>May</v>
      </c>
      <c r="W71" s="19" t="str">
        <f t="shared" si="92"/>
        <v>Jun</v>
      </c>
      <c r="X71" s="19" t="str">
        <f t="shared" si="92"/>
        <v>Jul</v>
      </c>
      <c r="Y71" s="19" t="str">
        <f t="shared" si="92"/>
        <v>Aug</v>
      </c>
      <c r="Z71" s="19" t="str">
        <f t="shared" si="92"/>
        <v>Sep</v>
      </c>
      <c r="AA71" s="19" t="str">
        <f t="shared" si="92"/>
        <v>Oct</v>
      </c>
      <c r="AB71" s="19" t="str">
        <f t="shared" si="92"/>
        <v>Nov</v>
      </c>
      <c r="AC71" s="19" t="str">
        <f t="shared" si="92"/>
        <v>Dec</v>
      </c>
      <c r="AD71" s="19" t="str">
        <f t="shared" si="92"/>
        <v>Jan</v>
      </c>
      <c r="AE71" s="557" t="str">
        <f t="shared" si="92"/>
        <v>Feb</v>
      </c>
    </row>
    <row r="72" spans="1:31" x14ac:dyDescent="0.2">
      <c r="A72" s="15" t="s">
        <v>112</v>
      </c>
      <c r="B72" s="188" t="s">
        <v>90</v>
      </c>
      <c r="C72" s="189" t="s">
        <v>290</v>
      </c>
      <c r="D72" s="307"/>
      <c r="E72" s="307"/>
      <c r="F72" s="307"/>
      <c r="G72" s="307"/>
      <c r="H72" s="307"/>
      <c r="I72" s="307"/>
      <c r="J72" s="307"/>
      <c r="K72" s="307"/>
      <c r="L72" s="307"/>
      <c r="M72" s="307"/>
      <c r="N72" s="307"/>
      <c r="O72" s="308"/>
      <c r="R72" s="552" t="s">
        <v>370</v>
      </c>
      <c r="S72" s="560">
        <f>MAX(D73:O73)</f>
        <v>0</v>
      </c>
      <c r="T72" s="567"/>
      <c r="U72" s="568"/>
      <c r="V72" s="568"/>
      <c r="W72" s="568"/>
      <c r="X72" s="568"/>
      <c r="Y72" s="568"/>
      <c r="Z72" s="568"/>
      <c r="AA72" s="568"/>
      <c r="AB72" s="568"/>
      <c r="AC72" s="568"/>
      <c r="AD72" s="568"/>
      <c r="AE72" s="560"/>
    </row>
    <row r="73" spans="1:31" x14ac:dyDescent="0.2">
      <c r="A73" s="311"/>
      <c r="B73" s="244" t="s">
        <v>92</v>
      </c>
      <c r="C73" s="245" t="s">
        <v>22</v>
      </c>
      <c r="D73" s="635">
        <f>'P1 Area'!Q13</f>
        <v>0</v>
      </c>
      <c r="E73" s="635">
        <f>'P1 Area'!R13</f>
        <v>0</v>
      </c>
      <c r="F73" s="635">
        <f>'P1 Area'!S13</f>
        <v>0</v>
      </c>
      <c r="G73" s="635">
        <f>'P1 Area'!T13</f>
        <v>0</v>
      </c>
      <c r="H73" s="635">
        <f>'P1 Area'!U13</f>
        <v>0</v>
      </c>
      <c r="I73" s="635">
        <f>'P1 Area'!V13</f>
        <v>0</v>
      </c>
      <c r="J73" s="635">
        <f>'P1 Area'!W13</f>
        <v>0</v>
      </c>
      <c r="K73" s="635">
        <f>'P1 Area'!X13</f>
        <v>0</v>
      </c>
      <c r="L73" s="635">
        <f>'P1 Area'!Y13</f>
        <v>0</v>
      </c>
      <c r="M73" s="635">
        <f>'P1 Area'!Z13</f>
        <v>0</v>
      </c>
      <c r="N73" s="635">
        <f>'P1 Area'!AA13</f>
        <v>0</v>
      </c>
      <c r="O73" s="635">
        <f>'P1 Area'!AB13</f>
        <v>0</v>
      </c>
      <c r="R73" s="553" t="s">
        <v>369</v>
      </c>
      <c r="S73" s="566">
        <f>SUM(T73:AE73)</f>
        <v>0</v>
      </c>
      <c r="T73" s="563"/>
      <c r="U73" s="562"/>
      <c r="V73" s="562"/>
      <c r="W73" s="562"/>
      <c r="X73" s="562"/>
      <c r="Y73" s="562"/>
      <c r="Z73" s="562"/>
      <c r="AA73" s="562"/>
      <c r="AB73" s="562"/>
      <c r="AC73" s="562"/>
      <c r="AD73" s="562"/>
      <c r="AE73" s="564"/>
    </row>
    <row r="74" spans="1:31" ht="13.5" thickBot="1" x14ac:dyDescent="0.25">
      <c r="A74" s="13" t="e">
        <f>SUM(D74:O74)/MAX(D73:O73)</f>
        <v>#DIV/0!</v>
      </c>
      <c r="B74" s="13" t="s">
        <v>472</v>
      </c>
      <c r="C74" s="13" t="s">
        <v>40</v>
      </c>
      <c r="D74" s="646">
        <f>D72*D73</f>
        <v>0</v>
      </c>
      <c r="E74" s="646">
        <f t="shared" ref="E74:O74" si="93">E72*E73</f>
        <v>0</v>
      </c>
      <c r="F74" s="646">
        <f t="shared" si="93"/>
        <v>0</v>
      </c>
      <c r="G74" s="646">
        <f t="shared" si="93"/>
        <v>0</v>
      </c>
      <c r="H74" s="646">
        <f t="shared" si="93"/>
        <v>0</v>
      </c>
      <c r="I74" s="646">
        <f t="shared" si="93"/>
        <v>0</v>
      </c>
      <c r="J74" s="646">
        <f t="shared" si="93"/>
        <v>0</v>
      </c>
      <c r="K74" s="646">
        <f t="shared" si="93"/>
        <v>0</v>
      </c>
      <c r="L74" s="646">
        <f t="shared" si="93"/>
        <v>0</v>
      </c>
      <c r="M74" s="646">
        <f t="shared" si="93"/>
        <v>0</v>
      </c>
      <c r="N74" s="646">
        <f t="shared" si="93"/>
        <v>0</v>
      </c>
      <c r="O74" s="646">
        <f t="shared" si="93"/>
        <v>0</v>
      </c>
      <c r="R74" s="554" t="s">
        <v>371</v>
      </c>
      <c r="S74" s="2">
        <v>10000</v>
      </c>
      <c r="T74" s="565">
        <f>$S$75*T73</f>
        <v>0</v>
      </c>
      <c r="U74" s="247">
        <f t="shared" ref="U74:AE74" si="94">$S$75*U73</f>
        <v>0</v>
      </c>
      <c r="V74" s="247">
        <f t="shared" si="94"/>
        <v>0</v>
      </c>
      <c r="W74" s="247">
        <f t="shared" si="94"/>
        <v>0</v>
      </c>
      <c r="X74" s="247">
        <f t="shared" si="94"/>
        <v>0</v>
      </c>
      <c r="Y74" s="247">
        <f t="shared" si="94"/>
        <v>0</v>
      </c>
      <c r="Z74" s="247">
        <f t="shared" si="94"/>
        <v>0</v>
      </c>
      <c r="AA74" s="247">
        <f t="shared" si="94"/>
        <v>0</v>
      </c>
      <c r="AB74" s="247">
        <f t="shared" si="94"/>
        <v>0</v>
      </c>
      <c r="AC74" s="247">
        <f t="shared" si="94"/>
        <v>0</v>
      </c>
      <c r="AD74" s="247">
        <f t="shared" si="94"/>
        <v>0</v>
      </c>
      <c r="AE74" s="561">
        <f t="shared" si="94"/>
        <v>0</v>
      </c>
    </row>
    <row r="75" spans="1:31" ht="13.5" thickBot="1" x14ac:dyDescent="0.25">
      <c r="A75" s="13"/>
      <c r="B75" s="13" t="s">
        <v>473</v>
      </c>
      <c r="C75" s="13" t="s">
        <v>40</v>
      </c>
      <c r="D75" s="646">
        <f>'P1 Feeding'!D17</f>
        <v>0</v>
      </c>
      <c r="E75" s="646">
        <f>'P1 Feeding'!E17</f>
        <v>0</v>
      </c>
      <c r="F75" s="646">
        <f>'P1 Feeding'!F17</f>
        <v>0</v>
      </c>
      <c r="G75" s="646">
        <f>'P1 Feeding'!G17</f>
        <v>0</v>
      </c>
      <c r="H75" s="646">
        <f>'P1 Feeding'!H17</f>
        <v>0</v>
      </c>
      <c r="I75" s="646">
        <f>'P1 Feeding'!I17</f>
        <v>0</v>
      </c>
      <c r="J75" s="646">
        <f>'P1 Feeding'!J17</f>
        <v>0</v>
      </c>
      <c r="K75" s="646">
        <f>'P1 Feeding'!K17</f>
        <v>0</v>
      </c>
      <c r="L75" s="646">
        <f>'P1 Feeding'!L17</f>
        <v>0</v>
      </c>
      <c r="M75" s="646">
        <f>'P1 Feeding'!M17</f>
        <v>0</v>
      </c>
      <c r="N75" s="646">
        <f>'P1 Feeding'!N17</f>
        <v>0</v>
      </c>
      <c r="O75" s="646">
        <f>'P1 Feeding'!O17</f>
        <v>0</v>
      </c>
      <c r="R75" s="555" t="s">
        <v>366</v>
      </c>
      <c r="S75" s="561">
        <f>S74*S72</f>
        <v>0</v>
      </c>
    </row>
    <row r="76" spans="1:31" ht="13.5" thickBot="1" x14ac:dyDescent="0.25">
      <c r="A76" s="13"/>
      <c r="B76" s="13" t="s">
        <v>474</v>
      </c>
      <c r="C76" s="13" t="s">
        <v>41</v>
      </c>
      <c r="D76" s="310">
        <f>T78</f>
        <v>0.75</v>
      </c>
      <c r="E76" s="310">
        <f>D76</f>
        <v>0.75</v>
      </c>
      <c r="F76" s="310">
        <f t="shared" ref="F76" si="95">E76</f>
        <v>0.75</v>
      </c>
      <c r="G76" s="310">
        <f t="shared" ref="G76" si="96">F76</f>
        <v>0.75</v>
      </c>
      <c r="H76" s="310">
        <f t="shared" ref="H76" si="97">G76</f>
        <v>0.75</v>
      </c>
      <c r="I76" s="310">
        <f t="shared" ref="I76" si="98">H76</f>
        <v>0.75</v>
      </c>
      <c r="J76" s="310">
        <f t="shared" ref="J76" si="99">I76</f>
        <v>0.75</v>
      </c>
      <c r="K76" s="310">
        <f t="shared" ref="K76" si="100">J76</f>
        <v>0.75</v>
      </c>
      <c r="L76" s="310">
        <f t="shared" ref="L76" si="101">K76</f>
        <v>0.75</v>
      </c>
      <c r="M76" s="310">
        <f t="shared" ref="M76" si="102">L76</f>
        <v>0.75</v>
      </c>
      <c r="N76" s="310">
        <f t="shared" ref="N76" si="103">M76</f>
        <v>0.75</v>
      </c>
      <c r="O76" s="310">
        <f t="shared" ref="O76" si="104">N76</f>
        <v>0.75</v>
      </c>
    </row>
    <row r="77" spans="1:31" ht="13.5" thickBot="1" x14ac:dyDescent="0.25">
      <c r="A77" s="13">
        <f>MIN(D79:O79)</f>
        <v>0</v>
      </c>
      <c r="B77" s="13" t="s">
        <v>475</v>
      </c>
      <c r="C77" s="13" t="s">
        <v>40</v>
      </c>
      <c r="D77" s="646">
        <f>D75/D76</f>
        <v>0</v>
      </c>
      <c r="E77" s="646">
        <f t="shared" ref="E77:O77" si="105">E75/E76</f>
        <v>0</v>
      </c>
      <c r="F77" s="646">
        <f t="shared" si="105"/>
        <v>0</v>
      </c>
      <c r="G77" s="646">
        <f t="shared" si="105"/>
        <v>0</v>
      </c>
      <c r="H77" s="646">
        <f t="shared" si="105"/>
        <v>0</v>
      </c>
      <c r="I77" s="646">
        <f t="shared" si="105"/>
        <v>0</v>
      </c>
      <c r="J77" s="646">
        <f t="shared" si="105"/>
        <v>0</v>
      </c>
      <c r="K77" s="646">
        <f t="shared" si="105"/>
        <v>0</v>
      </c>
      <c r="L77" s="646">
        <f t="shared" si="105"/>
        <v>0</v>
      </c>
      <c r="M77" s="646">
        <f t="shared" si="105"/>
        <v>0</v>
      </c>
      <c r="N77" s="646">
        <f t="shared" si="105"/>
        <v>0</v>
      </c>
      <c r="O77" s="646">
        <f t="shared" si="105"/>
        <v>0</v>
      </c>
      <c r="R77" s="773" t="s">
        <v>500</v>
      </c>
      <c r="S77" s="762">
        <v>10.5</v>
      </c>
      <c r="T77" s="775">
        <f>S77/10.5</f>
        <v>1</v>
      </c>
    </row>
    <row r="78" spans="1:31" ht="13.5" thickBot="1" x14ac:dyDescent="0.25">
      <c r="A78" s="13"/>
      <c r="B78" s="13" t="s">
        <v>495</v>
      </c>
      <c r="C78" s="13" t="s">
        <v>40</v>
      </c>
      <c r="D78" s="651">
        <f>-Trnsf!D16</f>
        <v>0</v>
      </c>
      <c r="E78" s="651">
        <f>-Trnsf!E16</f>
        <v>0</v>
      </c>
      <c r="F78" s="651">
        <f>-Trnsf!F16</f>
        <v>0</v>
      </c>
      <c r="G78" s="651">
        <f>-Trnsf!G16</f>
        <v>0</v>
      </c>
      <c r="H78" s="651">
        <f>-Trnsf!H16</f>
        <v>0</v>
      </c>
      <c r="I78" s="651">
        <f>-Trnsf!I16</f>
        <v>0</v>
      </c>
      <c r="J78" s="651">
        <f>-Trnsf!J16</f>
        <v>0</v>
      </c>
      <c r="K78" s="651">
        <f>-Trnsf!K16</f>
        <v>0</v>
      </c>
      <c r="L78" s="651">
        <f>-Trnsf!L16</f>
        <v>0</v>
      </c>
      <c r="M78" s="651">
        <f>-Trnsf!M16</f>
        <v>0</v>
      </c>
      <c r="N78" s="651">
        <f>-Trnsf!N16</f>
        <v>0</v>
      </c>
      <c r="O78" s="651">
        <f>-Trnsf!O16</f>
        <v>0</v>
      </c>
      <c r="R78" s="774" t="s">
        <v>501</v>
      </c>
      <c r="S78" s="764">
        <v>0.25</v>
      </c>
      <c r="T78" s="776">
        <f>1*(1-S78)*T77</f>
        <v>0.75</v>
      </c>
    </row>
    <row r="79" spans="1:31" ht="13.5" thickBot="1" x14ac:dyDescent="0.25">
      <c r="A79" s="249" t="s">
        <v>466</v>
      </c>
      <c r="B79" s="645">
        <v>0</v>
      </c>
      <c r="C79" s="247" t="s">
        <v>87</v>
      </c>
      <c r="D79" s="247">
        <f>B79+D74-D77+D78</f>
        <v>0</v>
      </c>
      <c r="E79" s="247">
        <f>D79+E74-E77+E78</f>
        <v>0</v>
      </c>
      <c r="F79" s="247">
        <f t="shared" ref="F79:O79" si="106">E79+F74-F77+F78</f>
        <v>0</v>
      </c>
      <c r="G79" s="247">
        <f t="shared" si="106"/>
        <v>0</v>
      </c>
      <c r="H79" s="247">
        <f t="shared" si="106"/>
        <v>0</v>
      </c>
      <c r="I79" s="247">
        <f t="shared" si="106"/>
        <v>0</v>
      </c>
      <c r="J79" s="247">
        <f t="shared" si="106"/>
        <v>0</v>
      </c>
      <c r="K79" s="247">
        <f t="shared" si="106"/>
        <v>0</v>
      </c>
      <c r="L79" s="247">
        <f t="shared" si="106"/>
        <v>0</v>
      </c>
      <c r="M79" s="247">
        <f t="shared" si="106"/>
        <v>0</v>
      </c>
      <c r="N79" s="247">
        <f t="shared" si="106"/>
        <v>0</v>
      </c>
      <c r="O79" s="247">
        <f t="shared" si="106"/>
        <v>0</v>
      </c>
    </row>
    <row r="80" spans="1:31" ht="13.5" thickBot="1" x14ac:dyDescent="0.25">
      <c r="B80" s="3"/>
      <c r="C80" s="3"/>
      <c r="D80" s="3"/>
      <c r="E80" s="3"/>
      <c r="F80" s="3"/>
      <c r="G80" s="3"/>
      <c r="H80" s="3"/>
      <c r="I80" s="3"/>
      <c r="J80" s="3"/>
      <c r="K80" s="3"/>
      <c r="L80" s="3"/>
      <c r="M80" s="3"/>
      <c r="N80" s="3"/>
      <c r="O80" s="3"/>
    </row>
    <row r="81" spans="1:31" x14ac:dyDescent="0.2">
      <c r="A81" s="19">
        <f>'P1 Area'!P14</f>
        <v>0</v>
      </c>
      <c r="B81" s="19"/>
      <c r="C81" s="19"/>
      <c r="D81" s="19" t="str">
        <f>D71</f>
        <v>Mar</v>
      </c>
      <c r="E81" s="19" t="str">
        <f t="shared" ref="E81:O81" si="107">E71</f>
        <v>Apr</v>
      </c>
      <c r="F81" s="19" t="str">
        <f t="shared" si="107"/>
        <v>May</v>
      </c>
      <c r="G81" s="19" t="str">
        <f t="shared" si="107"/>
        <v>Jun</v>
      </c>
      <c r="H81" s="19" t="str">
        <f t="shared" si="107"/>
        <v>Jul</v>
      </c>
      <c r="I81" s="19" t="str">
        <f t="shared" si="107"/>
        <v>Aug</v>
      </c>
      <c r="J81" s="19" t="str">
        <f t="shared" si="107"/>
        <v>Sep</v>
      </c>
      <c r="K81" s="19" t="str">
        <f t="shared" si="107"/>
        <v>Oct</v>
      </c>
      <c r="L81" s="19" t="str">
        <f t="shared" si="107"/>
        <v>Nov</v>
      </c>
      <c r="M81" s="19" t="str">
        <f t="shared" si="107"/>
        <v>Dec</v>
      </c>
      <c r="N81" s="19" t="str">
        <f t="shared" si="107"/>
        <v>Jan</v>
      </c>
      <c r="O81" s="19" t="str">
        <f t="shared" si="107"/>
        <v>Feb</v>
      </c>
      <c r="R81" s="558" t="s">
        <v>365</v>
      </c>
      <c r="S81" s="559"/>
      <c r="T81" s="556" t="str">
        <f>D81</f>
        <v>Mar</v>
      </c>
      <c r="U81" s="19" t="str">
        <f t="shared" ref="U81" si="108">E81</f>
        <v>Apr</v>
      </c>
      <c r="V81" s="19" t="str">
        <f t="shared" ref="V81" si="109">F81</f>
        <v>May</v>
      </c>
      <c r="W81" s="19" t="str">
        <f t="shared" ref="W81" si="110">G81</f>
        <v>Jun</v>
      </c>
      <c r="X81" s="19" t="str">
        <f t="shared" ref="X81" si="111">H81</f>
        <v>Jul</v>
      </c>
      <c r="Y81" s="19" t="str">
        <f t="shared" ref="Y81" si="112">I81</f>
        <v>Aug</v>
      </c>
      <c r="Z81" s="19" t="str">
        <f t="shared" ref="Z81" si="113">J81</f>
        <v>Sep</v>
      </c>
      <c r="AA81" s="19" t="str">
        <f t="shared" ref="AA81" si="114">K81</f>
        <v>Oct</v>
      </c>
      <c r="AB81" s="19" t="str">
        <f t="shared" ref="AB81" si="115">L81</f>
        <v>Nov</v>
      </c>
      <c r="AC81" s="19" t="str">
        <f t="shared" ref="AC81" si="116">M81</f>
        <v>Dec</v>
      </c>
      <c r="AD81" s="19" t="str">
        <f t="shared" ref="AD81" si="117">N81</f>
        <v>Jan</v>
      </c>
      <c r="AE81" s="557" t="str">
        <f t="shared" ref="AE81" si="118">O81</f>
        <v>Feb</v>
      </c>
    </row>
    <row r="82" spans="1:31" x14ac:dyDescent="0.2">
      <c r="A82" s="15" t="s">
        <v>112</v>
      </c>
      <c r="B82" s="188" t="s">
        <v>90</v>
      </c>
      <c r="C82" s="189" t="s">
        <v>290</v>
      </c>
      <c r="D82" s="307"/>
      <c r="E82" s="307"/>
      <c r="F82" s="307"/>
      <c r="G82" s="307"/>
      <c r="H82" s="307"/>
      <c r="I82" s="307"/>
      <c r="J82" s="307"/>
      <c r="K82" s="307"/>
      <c r="L82" s="307"/>
      <c r="M82" s="307"/>
      <c r="N82" s="307"/>
      <c r="O82" s="308"/>
      <c r="R82" s="552" t="s">
        <v>370</v>
      </c>
      <c r="S82" s="560">
        <f>MAX(D83:O83)</f>
        <v>0</v>
      </c>
      <c r="T82" s="567"/>
      <c r="U82" s="568"/>
      <c r="V82" s="568"/>
      <c r="W82" s="568"/>
      <c r="X82" s="568"/>
      <c r="Y82" s="568"/>
      <c r="Z82" s="568"/>
      <c r="AA82" s="568"/>
      <c r="AB82" s="568"/>
      <c r="AC82" s="568"/>
      <c r="AD82" s="568"/>
      <c r="AE82" s="560"/>
    </row>
    <row r="83" spans="1:31" x14ac:dyDescent="0.2">
      <c r="A83" s="311"/>
      <c r="B83" s="244" t="s">
        <v>92</v>
      </c>
      <c r="C83" s="245" t="s">
        <v>22</v>
      </c>
      <c r="D83" s="635">
        <f>'P1 Area'!Q14</f>
        <v>0</v>
      </c>
      <c r="E83" s="635">
        <f>'P1 Area'!R14</f>
        <v>0</v>
      </c>
      <c r="F83" s="635">
        <f>'P1 Area'!S14</f>
        <v>0</v>
      </c>
      <c r="G83" s="635">
        <f>'P1 Area'!T14</f>
        <v>0</v>
      </c>
      <c r="H83" s="635">
        <f>'P1 Area'!U14</f>
        <v>0</v>
      </c>
      <c r="I83" s="635">
        <f>'P1 Area'!V14</f>
        <v>0</v>
      </c>
      <c r="J83" s="635">
        <f>'P1 Area'!W14</f>
        <v>0</v>
      </c>
      <c r="K83" s="635">
        <f>'P1 Area'!X14</f>
        <v>0</v>
      </c>
      <c r="L83" s="635">
        <f>'P1 Area'!Y14</f>
        <v>0</v>
      </c>
      <c r="M83" s="635">
        <f>'P1 Area'!Z14</f>
        <v>0</v>
      </c>
      <c r="N83" s="635">
        <f>'P1 Area'!AA14</f>
        <v>0</v>
      </c>
      <c r="O83" s="635">
        <f>'P1 Area'!AB14</f>
        <v>0</v>
      </c>
      <c r="R83" s="553" t="s">
        <v>369</v>
      </c>
      <c r="S83" s="566">
        <f>SUM(T83:AE83)</f>
        <v>0</v>
      </c>
      <c r="T83" s="563"/>
      <c r="U83" s="562"/>
      <c r="V83" s="562"/>
      <c r="W83" s="562"/>
      <c r="X83" s="562"/>
      <c r="Y83" s="562"/>
      <c r="Z83" s="562"/>
      <c r="AA83" s="562"/>
      <c r="AB83" s="562"/>
      <c r="AC83" s="562"/>
      <c r="AD83" s="562"/>
      <c r="AE83" s="564"/>
    </row>
    <row r="84" spans="1:31" ht="13.5" thickBot="1" x14ac:dyDescent="0.25">
      <c r="A84" s="13" t="e">
        <f>SUM(D84:O84)/MAX(D83:O83)</f>
        <v>#DIV/0!</v>
      </c>
      <c r="B84" s="13" t="s">
        <v>472</v>
      </c>
      <c r="C84" s="13" t="s">
        <v>40</v>
      </c>
      <c r="D84" s="646">
        <f>D82*D83</f>
        <v>0</v>
      </c>
      <c r="E84" s="646">
        <f t="shared" ref="E84:O84" si="119">E82*E83</f>
        <v>0</v>
      </c>
      <c r="F84" s="646">
        <f t="shared" si="119"/>
        <v>0</v>
      </c>
      <c r="G84" s="646">
        <f t="shared" si="119"/>
        <v>0</v>
      </c>
      <c r="H84" s="646">
        <f t="shared" si="119"/>
        <v>0</v>
      </c>
      <c r="I84" s="646">
        <f t="shared" si="119"/>
        <v>0</v>
      </c>
      <c r="J84" s="646">
        <f t="shared" si="119"/>
        <v>0</v>
      </c>
      <c r="K84" s="646">
        <f t="shared" si="119"/>
        <v>0</v>
      </c>
      <c r="L84" s="646">
        <f t="shared" si="119"/>
        <v>0</v>
      </c>
      <c r="M84" s="646">
        <f t="shared" si="119"/>
        <v>0</v>
      </c>
      <c r="N84" s="646">
        <f t="shared" si="119"/>
        <v>0</v>
      </c>
      <c r="O84" s="646">
        <f t="shared" si="119"/>
        <v>0</v>
      </c>
      <c r="R84" s="554" t="s">
        <v>371</v>
      </c>
      <c r="S84" s="2">
        <v>10000</v>
      </c>
      <c r="T84" s="565">
        <f>$S$85*T83</f>
        <v>0</v>
      </c>
      <c r="U84" s="247">
        <f t="shared" ref="U84:AE84" si="120">$S$85*U83</f>
        <v>0</v>
      </c>
      <c r="V84" s="247">
        <f t="shared" si="120"/>
        <v>0</v>
      </c>
      <c r="W84" s="247">
        <f t="shared" si="120"/>
        <v>0</v>
      </c>
      <c r="X84" s="247">
        <f t="shared" si="120"/>
        <v>0</v>
      </c>
      <c r="Y84" s="247">
        <f t="shared" si="120"/>
        <v>0</v>
      </c>
      <c r="Z84" s="247">
        <f t="shared" si="120"/>
        <v>0</v>
      </c>
      <c r="AA84" s="247">
        <f t="shared" si="120"/>
        <v>0</v>
      </c>
      <c r="AB84" s="247">
        <f t="shared" si="120"/>
        <v>0</v>
      </c>
      <c r="AC84" s="247">
        <f t="shared" si="120"/>
        <v>0</v>
      </c>
      <c r="AD84" s="247">
        <f t="shared" si="120"/>
        <v>0</v>
      </c>
      <c r="AE84" s="561">
        <f t="shared" si="120"/>
        <v>0</v>
      </c>
    </row>
    <row r="85" spans="1:31" ht="13.5" thickBot="1" x14ac:dyDescent="0.25">
      <c r="A85" s="13"/>
      <c r="B85" s="13" t="s">
        <v>473</v>
      </c>
      <c r="C85" s="13" t="s">
        <v>40</v>
      </c>
      <c r="D85" s="646">
        <f>'P1 Feeding'!D18</f>
        <v>0</v>
      </c>
      <c r="E85" s="646">
        <f>'P1 Feeding'!E18</f>
        <v>0</v>
      </c>
      <c r="F85" s="646">
        <f>'P1 Feeding'!F18</f>
        <v>0</v>
      </c>
      <c r="G85" s="646">
        <f>'P1 Feeding'!G18</f>
        <v>0</v>
      </c>
      <c r="H85" s="646">
        <f>'P1 Feeding'!H18</f>
        <v>0</v>
      </c>
      <c r="I85" s="646">
        <f>'P1 Feeding'!I18</f>
        <v>0</v>
      </c>
      <c r="J85" s="646">
        <f>'P1 Feeding'!J18</f>
        <v>0</v>
      </c>
      <c r="K85" s="646">
        <f>'P1 Feeding'!K18</f>
        <v>0</v>
      </c>
      <c r="L85" s="646">
        <f>'P1 Feeding'!L18</f>
        <v>0</v>
      </c>
      <c r="M85" s="646">
        <f>'P1 Feeding'!M18</f>
        <v>0</v>
      </c>
      <c r="N85" s="646">
        <f>'P1 Feeding'!N18</f>
        <v>0</v>
      </c>
      <c r="O85" s="646">
        <f>'P1 Feeding'!O18</f>
        <v>0</v>
      </c>
      <c r="R85" s="555" t="s">
        <v>366</v>
      </c>
      <c r="S85" s="561">
        <f>S84*S82</f>
        <v>0</v>
      </c>
    </row>
    <row r="86" spans="1:31" ht="13.5" thickBot="1" x14ac:dyDescent="0.25">
      <c r="A86" s="13"/>
      <c r="B86" s="13" t="s">
        <v>474</v>
      </c>
      <c r="C86" s="13" t="s">
        <v>41</v>
      </c>
      <c r="D86" s="310">
        <f>T88</f>
        <v>0.75</v>
      </c>
      <c r="E86" s="310">
        <f>D86</f>
        <v>0.75</v>
      </c>
      <c r="F86" s="310">
        <f t="shared" ref="F86" si="121">E86</f>
        <v>0.75</v>
      </c>
      <c r="G86" s="310">
        <f t="shared" ref="G86" si="122">F86</f>
        <v>0.75</v>
      </c>
      <c r="H86" s="310">
        <f t="shared" ref="H86" si="123">G86</f>
        <v>0.75</v>
      </c>
      <c r="I86" s="310">
        <f t="shared" ref="I86" si="124">H86</f>
        <v>0.75</v>
      </c>
      <c r="J86" s="310">
        <f t="shared" ref="J86" si="125">I86</f>
        <v>0.75</v>
      </c>
      <c r="K86" s="310">
        <f t="shared" ref="K86" si="126">J86</f>
        <v>0.75</v>
      </c>
      <c r="L86" s="310">
        <f t="shared" ref="L86" si="127">K86</f>
        <v>0.75</v>
      </c>
      <c r="M86" s="310">
        <f t="shared" ref="M86" si="128">L86</f>
        <v>0.75</v>
      </c>
      <c r="N86" s="310">
        <f t="shared" ref="N86" si="129">M86</f>
        <v>0.75</v>
      </c>
      <c r="O86" s="310">
        <f t="shared" ref="O86" si="130">N86</f>
        <v>0.75</v>
      </c>
    </row>
    <row r="87" spans="1:31" ht="13.5" thickBot="1" x14ac:dyDescent="0.25">
      <c r="A87" s="13">
        <f>MIN(D89:O89)</f>
        <v>0</v>
      </c>
      <c r="B87" s="13" t="s">
        <v>475</v>
      </c>
      <c r="C87" s="13" t="s">
        <v>40</v>
      </c>
      <c r="D87" s="646">
        <f>D85/D86</f>
        <v>0</v>
      </c>
      <c r="E87" s="646">
        <f t="shared" ref="E87:O87" si="131">E85/E86</f>
        <v>0</v>
      </c>
      <c r="F87" s="646">
        <f t="shared" si="131"/>
        <v>0</v>
      </c>
      <c r="G87" s="646">
        <f t="shared" si="131"/>
        <v>0</v>
      </c>
      <c r="H87" s="646">
        <f t="shared" si="131"/>
        <v>0</v>
      </c>
      <c r="I87" s="646">
        <f t="shared" si="131"/>
        <v>0</v>
      </c>
      <c r="J87" s="646">
        <f t="shared" si="131"/>
        <v>0</v>
      </c>
      <c r="K87" s="646">
        <f t="shared" si="131"/>
        <v>0</v>
      </c>
      <c r="L87" s="646">
        <f t="shared" si="131"/>
        <v>0</v>
      </c>
      <c r="M87" s="646">
        <f t="shared" si="131"/>
        <v>0</v>
      </c>
      <c r="N87" s="646">
        <f t="shared" si="131"/>
        <v>0</v>
      </c>
      <c r="O87" s="646">
        <f t="shared" si="131"/>
        <v>0</v>
      </c>
      <c r="R87" s="773" t="s">
        <v>500</v>
      </c>
      <c r="S87" s="762">
        <v>10.5</v>
      </c>
      <c r="T87" s="775">
        <f>S87/10.5</f>
        <v>1</v>
      </c>
    </row>
    <row r="88" spans="1:31" ht="13.5" thickBot="1" x14ac:dyDescent="0.25">
      <c r="A88" s="13"/>
      <c r="B88" s="13" t="s">
        <v>495</v>
      </c>
      <c r="C88" s="13" t="s">
        <v>40</v>
      </c>
      <c r="D88" s="651">
        <f>-Trnsf!D17</f>
        <v>0</v>
      </c>
      <c r="E88" s="651">
        <f>-Trnsf!E17</f>
        <v>0</v>
      </c>
      <c r="F88" s="651">
        <f>-Trnsf!F17</f>
        <v>0</v>
      </c>
      <c r="G88" s="651">
        <f>-Trnsf!G17</f>
        <v>0</v>
      </c>
      <c r="H88" s="651">
        <f>-Trnsf!H17</f>
        <v>0</v>
      </c>
      <c r="I88" s="651">
        <f>-Trnsf!I17</f>
        <v>0</v>
      </c>
      <c r="J88" s="651">
        <f>-Trnsf!J17</f>
        <v>0</v>
      </c>
      <c r="K88" s="651">
        <f>-Trnsf!K17</f>
        <v>0</v>
      </c>
      <c r="L88" s="651">
        <f>-Trnsf!L17</f>
        <v>0</v>
      </c>
      <c r="M88" s="651">
        <f>-Trnsf!M17</f>
        <v>0</v>
      </c>
      <c r="N88" s="651">
        <f>-Trnsf!N17</f>
        <v>0</v>
      </c>
      <c r="O88" s="651">
        <f>-Trnsf!O17</f>
        <v>0</v>
      </c>
      <c r="R88" s="774" t="s">
        <v>501</v>
      </c>
      <c r="S88" s="764">
        <v>0.25</v>
      </c>
      <c r="T88" s="776">
        <f>1*(1-S88)*T87</f>
        <v>0.75</v>
      </c>
    </row>
    <row r="89" spans="1:31" ht="13.5" thickBot="1" x14ac:dyDescent="0.25">
      <c r="A89" s="249" t="s">
        <v>466</v>
      </c>
      <c r="B89" s="645">
        <v>0</v>
      </c>
      <c r="C89" s="247" t="s">
        <v>87</v>
      </c>
      <c r="D89" s="247">
        <f>B89+D84-D87+D88</f>
        <v>0</v>
      </c>
      <c r="E89" s="247">
        <f>D89+E84-E87+E88</f>
        <v>0</v>
      </c>
      <c r="F89" s="247">
        <f t="shared" ref="F89:O89" si="132">E89+F84-F87+F88</f>
        <v>0</v>
      </c>
      <c r="G89" s="247">
        <f t="shared" si="132"/>
        <v>0</v>
      </c>
      <c r="H89" s="247">
        <f t="shared" si="132"/>
        <v>0</v>
      </c>
      <c r="I89" s="247">
        <f t="shared" si="132"/>
        <v>0</v>
      </c>
      <c r="J89" s="247">
        <f t="shared" si="132"/>
        <v>0</v>
      </c>
      <c r="K89" s="247">
        <f t="shared" si="132"/>
        <v>0</v>
      </c>
      <c r="L89" s="247">
        <f t="shared" si="132"/>
        <v>0</v>
      </c>
      <c r="M89" s="247">
        <f t="shared" si="132"/>
        <v>0</v>
      </c>
      <c r="N89" s="247">
        <f t="shared" si="132"/>
        <v>0</v>
      </c>
      <c r="O89" s="247">
        <f t="shared" si="132"/>
        <v>0</v>
      </c>
    </row>
    <row r="90" spans="1:31" ht="13.5" thickBot="1" x14ac:dyDescent="0.25">
      <c r="B90" s="3"/>
      <c r="C90" s="3"/>
      <c r="D90" s="3"/>
      <c r="E90" s="3"/>
      <c r="F90" s="3"/>
      <c r="G90" s="3"/>
      <c r="H90" s="3"/>
      <c r="I90" s="3"/>
      <c r="J90" s="3"/>
      <c r="K90" s="3"/>
      <c r="L90" s="3"/>
      <c r="M90" s="3"/>
      <c r="N90" s="3"/>
      <c r="O90" s="3"/>
    </row>
    <row r="91" spans="1:31" x14ac:dyDescent="0.2">
      <c r="A91" s="19">
        <f>'P1 Area'!P15</f>
        <v>0</v>
      </c>
      <c r="B91" s="19"/>
      <c r="C91" s="19"/>
      <c r="D91" s="19" t="str">
        <f>D81</f>
        <v>Mar</v>
      </c>
      <c r="E91" s="19" t="str">
        <f t="shared" ref="E91:O91" si="133">E81</f>
        <v>Apr</v>
      </c>
      <c r="F91" s="19" t="str">
        <f t="shared" si="133"/>
        <v>May</v>
      </c>
      <c r="G91" s="19" t="str">
        <f t="shared" si="133"/>
        <v>Jun</v>
      </c>
      <c r="H91" s="19" t="str">
        <f t="shared" si="133"/>
        <v>Jul</v>
      </c>
      <c r="I91" s="19" t="str">
        <f t="shared" si="133"/>
        <v>Aug</v>
      </c>
      <c r="J91" s="19" t="str">
        <f t="shared" si="133"/>
        <v>Sep</v>
      </c>
      <c r="K91" s="19" t="str">
        <f t="shared" si="133"/>
        <v>Oct</v>
      </c>
      <c r="L91" s="19" t="str">
        <f t="shared" si="133"/>
        <v>Nov</v>
      </c>
      <c r="M91" s="19" t="str">
        <f t="shared" si="133"/>
        <v>Dec</v>
      </c>
      <c r="N91" s="19" t="str">
        <f t="shared" si="133"/>
        <v>Jan</v>
      </c>
      <c r="O91" s="19" t="str">
        <f t="shared" si="133"/>
        <v>Feb</v>
      </c>
      <c r="R91" s="558" t="s">
        <v>365</v>
      </c>
      <c r="S91" s="559"/>
      <c r="T91" s="556" t="str">
        <f>D91</f>
        <v>Mar</v>
      </c>
      <c r="U91" s="19" t="str">
        <f t="shared" ref="U91" si="134">E91</f>
        <v>Apr</v>
      </c>
      <c r="V91" s="19" t="str">
        <f t="shared" ref="V91" si="135">F91</f>
        <v>May</v>
      </c>
      <c r="W91" s="19" t="str">
        <f t="shared" ref="W91" si="136">G91</f>
        <v>Jun</v>
      </c>
      <c r="X91" s="19" t="str">
        <f t="shared" ref="X91" si="137">H91</f>
        <v>Jul</v>
      </c>
      <c r="Y91" s="19" t="str">
        <f t="shared" ref="Y91" si="138">I91</f>
        <v>Aug</v>
      </c>
      <c r="Z91" s="19" t="str">
        <f t="shared" ref="Z91" si="139">J91</f>
        <v>Sep</v>
      </c>
      <c r="AA91" s="19" t="str">
        <f t="shared" ref="AA91" si="140">K91</f>
        <v>Oct</v>
      </c>
      <c r="AB91" s="19" t="str">
        <f t="shared" ref="AB91" si="141">L91</f>
        <v>Nov</v>
      </c>
      <c r="AC91" s="19" t="str">
        <f t="shared" ref="AC91" si="142">M91</f>
        <v>Dec</v>
      </c>
      <c r="AD91" s="19" t="str">
        <f t="shared" ref="AD91" si="143">N91</f>
        <v>Jan</v>
      </c>
      <c r="AE91" s="557" t="str">
        <f t="shared" ref="AE91" si="144">O91</f>
        <v>Feb</v>
      </c>
    </row>
    <row r="92" spans="1:31" x14ac:dyDescent="0.2">
      <c r="A92" s="15" t="s">
        <v>112</v>
      </c>
      <c r="B92" s="188" t="s">
        <v>90</v>
      </c>
      <c r="C92" s="189" t="s">
        <v>290</v>
      </c>
      <c r="D92" s="307"/>
      <c r="E92" s="307"/>
      <c r="F92" s="307"/>
      <c r="G92" s="307"/>
      <c r="H92" s="307"/>
      <c r="I92" s="307"/>
      <c r="J92" s="307"/>
      <c r="K92" s="307"/>
      <c r="L92" s="307"/>
      <c r="M92" s="307">
        <v>3000</v>
      </c>
      <c r="N92" s="307"/>
      <c r="O92" s="308"/>
      <c r="R92" s="552" t="s">
        <v>370</v>
      </c>
      <c r="S92" s="560">
        <f>MAX(D93:O93)</f>
        <v>0</v>
      </c>
      <c r="T92" s="567"/>
      <c r="U92" s="568"/>
      <c r="V92" s="568"/>
      <c r="W92" s="568"/>
      <c r="X92" s="568"/>
      <c r="Y92" s="568"/>
      <c r="Z92" s="568"/>
      <c r="AA92" s="568"/>
      <c r="AB92" s="568"/>
      <c r="AC92" s="568"/>
      <c r="AD92" s="568"/>
      <c r="AE92" s="560"/>
    </row>
    <row r="93" spans="1:31" x14ac:dyDescent="0.2">
      <c r="A93" s="311"/>
      <c r="B93" s="244" t="s">
        <v>92</v>
      </c>
      <c r="C93" s="245" t="s">
        <v>22</v>
      </c>
      <c r="D93" s="635">
        <f>'P1 Area'!Q15</f>
        <v>0</v>
      </c>
      <c r="E93" s="635">
        <f>'P1 Area'!R15</f>
        <v>0</v>
      </c>
      <c r="F93" s="635">
        <f>'P1 Area'!S15</f>
        <v>0</v>
      </c>
      <c r="G93" s="635">
        <f>'P1 Area'!T15</f>
        <v>0</v>
      </c>
      <c r="H93" s="635">
        <f>'P1 Area'!U15</f>
        <v>0</v>
      </c>
      <c r="I93" s="635">
        <f>'P1 Area'!V15</f>
        <v>0</v>
      </c>
      <c r="J93" s="635">
        <f>'P1 Area'!W15</f>
        <v>0</v>
      </c>
      <c r="K93" s="635">
        <f>'P1 Area'!X15</f>
        <v>0</v>
      </c>
      <c r="L93" s="635">
        <f>'P1 Area'!Y15</f>
        <v>0</v>
      </c>
      <c r="M93" s="635">
        <f>'P1 Area'!Z15</f>
        <v>0</v>
      </c>
      <c r="N93" s="635">
        <f>'P1 Area'!AA15</f>
        <v>0</v>
      </c>
      <c r="O93" s="635">
        <f>'P1 Area'!AB15</f>
        <v>0</v>
      </c>
      <c r="R93" s="553" t="s">
        <v>369</v>
      </c>
      <c r="S93" s="566">
        <f>SUM(T93:AE93)</f>
        <v>0</v>
      </c>
      <c r="T93" s="563"/>
      <c r="U93" s="562"/>
      <c r="V93" s="562"/>
      <c r="W93" s="562"/>
      <c r="X93" s="562"/>
      <c r="Y93" s="562"/>
      <c r="Z93" s="562"/>
      <c r="AA93" s="562"/>
      <c r="AB93" s="562"/>
      <c r="AC93" s="562"/>
      <c r="AD93" s="562"/>
      <c r="AE93" s="564"/>
    </row>
    <row r="94" spans="1:31" ht="13.5" thickBot="1" x14ac:dyDescent="0.25">
      <c r="A94" s="13" t="e">
        <f>SUM(D94:O94)/MAX(D93:O93)</f>
        <v>#DIV/0!</v>
      </c>
      <c r="B94" s="13" t="s">
        <v>472</v>
      </c>
      <c r="C94" s="13" t="s">
        <v>40</v>
      </c>
      <c r="D94" s="646">
        <f>D92*D93</f>
        <v>0</v>
      </c>
      <c r="E94" s="646">
        <f t="shared" ref="E94:O94" si="145">E92*E93</f>
        <v>0</v>
      </c>
      <c r="F94" s="646">
        <f t="shared" si="145"/>
        <v>0</v>
      </c>
      <c r="G94" s="646">
        <f t="shared" si="145"/>
        <v>0</v>
      </c>
      <c r="H94" s="646">
        <f t="shared" si="145"/>
        <v>0</v>
      </c>
      <c r="I94" s="646">
        <f t="shared" si="145"/>
        <v>0</v>
      </c>
      <c r="J94" s="646">
        <f t="shared" si="145"/>
        <v>0</v>
      </c>
      <c r="K94" s="646">
        <f t="shared" si="145"/>
        <v>0</v>
      </c>
      <c r="L94" s="646">
        <f t="shared" si="145"/>
        <v>0</v>
      </c>
      <c r="M94" s="646">
        <f t="shared" si="145"/>
        <v>0</v>
      </c>
      <c r="N94" s="646">
        <f t="shared" si="145"/>
        <v>0</v>
      </c>
      <c r="O94" s="646">
        <f t="shared" si="145"/>
        <v>0</v>
      </c>
      <c r="R94" s="554" t="s">
        <v>371</v>
      </c>
      <c r="S94" s="2">
        <v>3500</v>
      </c>
      <c r="T94" s="565">
        <f>$S$95*T93</f>
        <v>0</v>
      </c>
      <c r="U94" s="247">
        <f t="shared" ref="U94:AE94" si="146">$S$95*U93</f>
        <v>0</v>
      </c>
      <c r="V94" s="247">
        <f t="shared" si="146"/>
        <v>0</v>
      </c>
      <c r="W94" s="247">
        <f t="shared" si="146"/>
        <v>0</v>
      </c>
      <c r="X94" s="247">
        <f t="shared" si="146"/>
        <v>0</v>
      </c>
      <c r="Y94" s="247">
        <f t="shared" si="146"/>
        <v>0</v>
      </c>
      <c r="Z94" s="247">
        <f t="shared" si="146"/>
        <v>0</v>
      </c>
      <c r="AA94" s="247">
        <f t="shared" si="146"/>
        <v>0</v>
      </c>
      <c r="AB94" s="247">
        <f t="shared" si="146"/>
        <v>0</v>
      </c>
      <c r="AC94" s="247">
        <f t="shared" si="146"/>
        <v>0</v>
      </c>
      <c r="AD94" s="247">
        <f t="shared" si="146"/>
        <v>0</v>
      </c>
      <c r="AE94" s="561">
        <f t="shared" si="146"/>
        <v>0</v>
      </c>
    </row>
    <row r="95" spans="1:31" ht="13.5" thickBot="1" x14ac:dyDescent="0.25">
      <c r="A95" s="13"/>
      <c r="B95" s="13" t="s">
        <v>473</v>
      </c>
      <c r="C95" s="13" t="s">
        <v>40</v>
      </c>
      <c r="D95" s="646">
        <f>'P1 Feeding'!D19</f>
        <v>0</v>
      </c>
      <c r="E95" s="646">
        <f>'P1 Feeding'!E19</f>
        <v>0</v>
      </c>
      <c r="F95" s="646">
        <f>'P1 Feeding'!F19</f>
        <v>0</v>
      </c>
      <c r="G95" s="646">
        <f>'P1 Feeding'!G19</f>
        <v>0</v>
      </c>
      <c r="H95" s="646">
        <f>'P1 Feeding'!H19</f>
        <v>0</v>
      </c>
      <c r="I95" s="646">
        <f>'P1 Feeding'!I19</f>
        <v>0</v>
      </c>
      <c r="J95" s="646">
        <f>'P1 Feeding'!J19</f>
        <v>0</v>
      </c>
      <c r="K95" s="646">
        <f>'P1 Feeding'!K19</f>
        <v>0</v>
      </c>
      <c r="L95" s="646">
        <f>'P1 Feeding'!L19</f>
        <v>0</v>
      </c>
      <c r="M95" s="646">
        <f>'P1 Feeding'!M19</f>
        <v>0</v>
      </c>
      <c r="N95" s="646">
        <f>'P1 Feeding'!N19</f>
        <v>0</v>
      </c>
      <c r="O95" s="646">
        <f>'P1 Feeding'!O19</f>
        <v>0</v>
      </c>
      <c r="R95" s="555" t="s">
        <v>366</v>
      </c>
      <c r="S95" s="561">
        <f>S94*S92</f>
        <v>0</v>
      </c>
    </row>
    <row r="96" spans="1:31" ht="13.5" thickBot="1" x14ac:dyDescent="0.25">
      <c r="A96" s="13"/>
      <c r="B96" s="13" t="s">
        <v>474</v>
      </c>
      <c r="C96" s="13" t="s">
        <v>41</v>
      </c>
      <c r="D96" s="310">
        <f>T98</f>
        <v>0.75</v>
      </c>
      <c r="E96" s="310">
        <f>D96</f>
        <v>0.75</v>
      </c>
      <c r="F96" s="310">
        <f t="shared" ref="F96" si="147">E96</f>
        <v>0.75</v>
      </c>
      <c r="G96" s="310">
        <f t="shared" ref="G96" si="148">F96</f>
        <v>0.75</v>
      </c>
      <c r="H96" s="310">
        <f t="shared" ref="H96" si="149">G96</f>
        <v>0.75</v>
      </c>
      <c r="I96" s="310">
        <f t="shared" ref="I96" si="150">H96</f>
        <v>0.75</v>
      </c>
      <c r="J96" s="310">
        <f t="shared" ref="J96" si="151">I96</f>
        <v>0.75</v>
      </c>
      <c r="K96" s="310">
        <f t="shared" ref="K96" si="152">J96</f>
        <v>0.75</v>
      </c>
      <c r="L96" s="310">
        <f t="shared" ref="L96" si="153">K96</f>
        <v>0.75</v>
      </c>
      <c r="M96" s="310">
        <f t="shared" ref="M96" si="154">L96</f>
        <v>0.75</v>
      </c>
      <c r="N96" s="310">
        <f t="shared" ref="N96" si="155">M96</f>
        <v>0.75</v>
      </c>
      <c r="O96" s="310">
        <f t="shared" ref="O96" si="156">N96</f>
        <v>0.75</v>
      </c>
    </row>
    <row r="97" spans="1:38" ht="13.5" thickBot="1" x14ac:dyDescent="0.25">
      <c r="A97" s="13">
        <f>MIN(D98:O98)</f>
        <v>0</v>
      </c>
      <c r="B97" s="13" t="s">
        <v>475</v>
      </c>
      <c r="C97" s="13" t="s">
        <v>40</v>
      </c>
      <c r="D97" s="646">
        <f>D95/D96</f>
        <v>0</v>
      </c>
      <c r="E97" s="646">
        <f t="shared" ref="E97:O97" si="157">E95/E96</f>
        <v>0</v>
      </c>
      <c r="F97" s="646">
        <f t="shared" si="157"/>
        <v>0</v>
      </c>
      <c r="G97" s="646">
        <f t="shared" si="157"/>
        <v>0</v>
      </c>
      <c r="H97" s="646">
        <f t="shared" si="157"/>
        <v>0</v>
      </c>
      <c r="I97" s="646">
        <f t="shared" si="157"/>
        <v>0</v>
      </c>
      <c r="J97" s="646">
        <f t="shared" si="157"/>
        <v>0</v>
      </c>
      <c r="K97" s="646">
        <f t="shared" si="157"/>
        <v>0</v>
      </c>
      <c r="L97" s="646">
        <f t="shared" si="157"/>
        <v>0</v>
      </c>
      <c r="M97" s="646">
        <f t="shared" si="157"/>
        <v>0</v>
      </c>
      <c r="N97" s="646">
        <f t="shared" si="157"/>
        <v>0</v>
      </c>
      <c r="O97" s="646">
        <f t="shared" si="157"/>
        <v>0</v>
      </c>
      <c r="R97" s="773" t="s">
        <v>500</v>
      </c>
      <c r="S97" s="762">
        <v>10.5</v>
      </c>
      <c r="T97" s="775">
        <f>S97/10.5</f>
        <v>1</v>
      </c>
    </row>
    <row r="98" spans="1:38" ht="13.5" thickBot="1" x14ac:dyDescent="0.25">
      <c r="A98" s="249" t="s">
        <v>466</v>
      </c>
      <c r="B98" s="645">
        <v>0</v>
      </c>
      <c r="C98" s="247" t="s">
        <v>87</v>
      </c>
      <c r="D98" s="247">
        <f>B98+D94-D97</f>
        <v>0</v>
      </c>
      <c r="E98" s="247">
        <f t="shared" ref="E98" si="158">D98+E94-E97</f>
        <v>0</v>
      </c>
      <c r="F98" s="247">
        <f t="shared" ref="F98" si="159">E98+F94-F97</f>
        <v>0</v>
      </c>
      <c r="G98" s="247">
        <f t="shared" ref="G98" si="160">F98+G94-G97</f>
        <v>0</v>
      </c>
      <c r="H98" s="247">
        <f t="shared" ref="H98" si="161">G98+H94-H97</f>
        <v>0</v>
      </c>
      <c r="I98" s="247">
        <f t="shared" ref="I98" si="162">H98+I94-I97</f>
        <v>0</v>
      </c>
      <c r="J98" s="247">
        <f t="shared" ref="J98" si="163">I98+J94-J97</f>
        <v>0</v>
      </c>
      <c r="K98" s="247">
        <f t="shared" ref="K98" si="164">J98+K94-K97</f>
        <v>0</v>
      </c>
      <c r="L98" s="247">
        <f t="shared" ref="L98" si="165">K98+L94-L97</f>
        <v>0</v>
      </c>
      <c r="M98" s="247">
        <f t="shared" ref="M98" si="166">L98+M94-M97</f>
        <v>0</v>
      </c>
      <c r="N98" s="247">
        <f t="shared" ref="N98" si="167">M98+N94-N97</f>
        <v>0</v>
      </c>
      <c r="O98" s="247">
        <f t="shared" ref="O98" si="168">N98+O94-O97</f>
        <v>0</v>
      </c>
      <c r="R98" s="774" t="s">
        <v>501</v>
      </c>
      <c r="S98" s="764">
        <v>0.25</v>
      </c>
      <c r="T98" s="776">
        <f>1*(1-S98)*T97</f>
        <v>0.75</v>
      </c>
    </row>
    <row r="99" spans="1:38" ht="13.5" thickBot="1" x14ac:dyDescent="0.25">
      <c r="B99" s="3"/>
      <c r="C99" s="3"/>
      <c r="D99" s="3"/>
      <c r="E99" s="3"/>
      <c r="F99" s="3"/>
      <c r="G99" s="3"/>
      <c r="H99" s="3"/>
      <c r="I99" s="3"/>
      <c r="J99" s="3"/>
      <c r="K99" s="3"/>
      <c r="L99" s="3"/>
      <c r="M99" s="3"/>
      <c r="N99" s="3"/>
      <c r="O99" s="3"/>
    </row>
    <row r="100" spans="1:38" x14ac:dyDescent="0.2">
      <c r="A100" s="19">
        <f>'P1 Area'!P16</f>
        <v>0</v>
      </c>
      <c r="B100" s="19"/>
      <c r="C100" s="19"/>
      <c r="D100" s="19" t="str">
        <f>D91</f>
        <v>Mar</v>
      </c>
      <c r="E100" s="19" t="str">
        <f t="shared" ref="E100:O100" si="169">E91</f>
        <v>Apr</v>
      </c>
      <c r="F100" s="19" t="str">
        <f t="shared" si="169"/>
        <v>May</v>
      </c>
      <c r="G100" s="19" t="str">
        <f t="shared" si="169"/>
        <v>Jun</v>
      </c>
      <c r="H100" s="19" t="str">
        <f t="shared" si="169"/>
        <v>Jul</v>
      </c>
      <c r="I100" s="19" t="str">
        <f t="shared" si="169"/>
        <v>Aug</v>
      </c>
      <c r="J100" s="19" t="str">
        <f t="shared" si="169"/>
        <v>Sep</v>
      </c>
      <c r="K100" s="19" t="str">
        <f t="shared" si="169"/>
        <v>Oct</v>
      </c>
      <c r="L100" s="19" t="str">
        <f t="shared" si="169"/>
        <v>Nov</v>
      </c>
      <c r="M100" s="19" t="str">
        <f t="shared" si="169"/>
        <v>Dec</v>
      </c>
      <c r="N100" s="19" t="str">
        <f t="shared" si="169"/>
        <v>Jan</v>
      </c>
      <c r="O100" s="19" t="str">
        <f t="shared" si="169"/>
        <v>Feb</v>
      </c>
      <c r="R100" s="558" t="s">
        <v>365</v>
      </c>
      <c r="S100" s="559"/>
      <c r="T100" s="556" t="str">
        <f>D100</f>
        <v>Mar</v>
      </c>
      <c r="U100" s="19" t="str">
        <f t="shared" ref="U100" si="170">E100</f>
        <v>Apr</v>
      </c>
      <c r="V100" s="19" t="str">
        <f t="shared" ref="V100" si="171">F100</f>
        <v>May</v>
      </c>
      <c r="W100" s="19" t="str">
        <f t="shared" ref="W100" si="172">G100</f>
        <v>Jun</v>
      </c>
      <c r="X100" s="19" t="str">
        <f t="shared" ref="X100" si="173">H100</f>
        <v>Jul</v>
      </c>
      <c r="Y100" s="19" t="str">
        <f t="shared" ref="Y100" si="174">I100</f>
        <v>Aug</v>
      </c>
      <c r="Z100" s="19" t="str">
        <f t="shared" ref="Z100" si="175">J100</f>
        <v>Sep</v>
      </c>
      <c r="AA100" s="19" t="str">
        <f t="shared" ref="AA100" si="176">K100</f>
        <v>Oct</v>
      </c>
      <c r="AB100" s="19" t="str">
        <f t="shared" ref="AB100" si="177">L100</f>
        <v>Nov</v>
      </c>
      <c r="AC100" s="19" t="str">
        <f t="shared" ref="AC100" si="178">M100</f>
        <v>Dec</v>
      </c>
      <c r="AD100" s="19" t="str">
        <f t="shared" ref="AD100" si="179">N100</f>
        <v>Jan</v>
      </c>
      <c r="AE100" s="557" t="str">
        <f t="shared" ref="AE100" si="180">O100</f>
        <v>Feb</v>
      </c>
      <c r="AH100" s="2" t="s">
        <v>326</v>
      </c>
      <c r="AI100" s="2">
        <v>25</v>
      </c>
      <c r="AJ100" s="2">
        <v>18</v>
      </c>
      <c r="AK100" s="2">
        <f>AI100*AJ100</f>
        <v>450</v>
      </c>
      <c r="AL100" s="322">
        <f>AK100/$AK$104</f>
        <v>0.14285714285714285</v>
      </c>
    </row>
    <row r="101" spans="1:38" x14ac:dyDescent="0.2">
      <c r="A101" s="15" t="s">
        <v>112</v>
      </c>
      <c r="B101" s="188" t="s">
        <v>90</v>
      </c>
      <c r="C101" s="189" t="s">
        <v>290</v>
      </c>
      <c r="D101" s="307"/>
      <c r="E101" s="307">
        <v>2000</v>
      </c>
      <c r="F101" s="307">
        <v>2500</v>
      </c>
      <c r="G101" s="307">
        <v>1000</v>
      </c>
      <c r="H101" s="307"/>
      <c r="I101" s="307"/>
      <c r="J101" s="307"/>
      <c r="K101" s="307"/>
      <c r="L101" s="307"/>
      <c r="M101" s="307"/>
      <c r="N101" s="307"/>
      <c r="O101" s="308"/>
      <c r="R101" s="552" t="s">
        <v>370</v>
      </c>
      <c r="S101" s="560">
        <f>MAX(D102:O102)</f>
        <v>0</v>
      </c>
      <c r="T101" s="567"/>
      <c r="U101" s="568"/>
      <c r="V101" s="568"/>
      <c r="W101" s="568"/>
      <c r="X101" s="568"/>
      <c r="Y101" s="568"/>
      <c r="Z101" s="568"/>
      <c r="AA101" s="568"/>
      <c r="AB101" s="568"/>
      <c r="AC101" s="568"/>
      <c r="AD101" s="568"/>
      <c r="AE101" s="560"/>
      <c r="AH101" s="2" t="s">
        <v>514</v>
      </c>
      <c r="AK101" s="2">
        <v>450</v>
      </c>
      <c r="AL101" s="322">
        <f t="shared" ref="AL101:AL103" si="181">AK101/$AK$104</f>
        <v>0.14285714285714285</v>
      </c>
    </row>
    <row r="102" spans="1:38" x14ac:dyDescent="0.2">
      <c r="A102" s="311"/>
      <c r="B102" s="244" t="s">
        <v>92</v>
      </c>
      <c r="C102" s="245" t="s">
        <v>22</v>
      </c>
      <c r="D102" s="635">
        <f>'P1 Area'!Q16</f>
        <v>0</v>
      </c>
      <c r="E102" s="635">
        <f>'P1 Area'!R16</f>
        <v>0</v>
      </c>
      <c r="F102" s="635">
        <f>'P1 Area'!S16</f>
        <v>0</v>
      </c>
      <c r="G102" s="635">
        <f>'P1 Area'!T16</f>
        <v>0</v>
      </c>
      <c r="H102" s="635">
        <f>'P1 Area'!U16</f>
        <v>0</v>
      </c>
      <c r="I102" s="635">
        <f>'P1 Area'!V16</f>
        <v>0</v>
      </c>
      <c r="J102" s="635">
        <f>'P1 Area'!W16</f>
        <v>0</v>
      </c>
      <c r="K102" s="635">
        <f>'P1 Area'!X16</f>
        <v>0</v>
      </c>
      <c r="L102" s="635">
        <f>'P1 Area'!Y16</f>
        <v>0</v>
      </c>
      <c r="M102" s="635">
        <f>'P1 Area'!Z16</f>
        <v>0</v>
      </c>
      <c r="N102" s="635">
        <f>'P1 Area'!AA16</f>
        <v>0</v>
      </c>
      <c r="O102" s="635">
        <f>'P1 Area'!AB16</f>
        <v>0</v>
      </c>
      <c r="R102" s="553" t="s">
        <v>369</v>
      </c>
      <c r="S102" s="566">
        <f>SUM(T102:AE102)</f>
        <v>0</v>
      </c>
      <c r="T102" s="563"/>
      <c r="U102" s="562"/>
      <c r="V102" s="562"/>
      <c r="W102" s="562"/>
      <c r="X102" s="562"/>
      <c r="Y102" s="562"/>
      <c r="Z102" s="562"/>
      <c r="AA102" s="562"/>
      <c r="AB102" s="562"/>
      <c r="AC102" s="562"/>
      <c r="AD102" s="562"/>
      <c r="AE102" s="564"/>
      <c r="AH102" s="2" t="s">
        <v>515</v>
      </c>
      <c r="AI102" s="2">
        <v>50</v>
      </c>
      <c r="AJ102" s="2">
        <v>12</v>
      </c>
      <c r="AK102" s="2">
        <f>AI102*AJ102</f>
        <v>600</v>
      </c>
      <c r="AL102" s="322">
        <f t="shared" si="181"/>
        <v>0.19047619047619047</v>
      </c>
    </row>
    <row r="103" spans="1:38" ht="13.5" thickBot="1" x14ac:dyDescent="0.25">
      <c r="A103" s="13" t="e">
        <f>SUM(D103:O103)/MAX(D102:O102)</f>
        <v>#DIV/0!</v>
      </c>
      <c r="B103" s="13" t="s">
        <v>472</v>
      </c>
      <c r="C103" s="13" t="s">
        <v>40</v>
      </c>
      <c r="D103" s="646">
        <f>D101*D102</f>
        <v>0</v>
      </c>
      <c r="E103" s="646">
        <f t="shared" ref="E103:O103" si="182">E101*E102</f>
        <v>0</v>
      </c>
      <c r="F103" s="646">
        <f t="shared" si="182"/>
        <v>0</v>
      </c>
      <c r="G103" s="646">
        <f t="shared" si="182"/>
        <v>0</v>
      </c>
      <c r="H103" s="646">
        <f t="shared" si="182"/>
        <v>0</v>
      </c>
      <c r="I103" s="646">
        <f t="shared" si="182"/>
        <v>0</v>
      </c>
      <c r="J103" s="646">
        <f t="shared" si="182"/>
        <v>0</v>
      </c>
      <c r="K103" s="646">
        <f t="shared" si="182"/>
        <v>0</v>
      </c>
      <c r="L103" s="646">
        <f t="shared" si="182"/>
        <v>0</v>
      </c>
      <c r="M103" s="646">
        <f t="shared" si="182"/>
        <v>0</v>
      </c>
      <c r="N103" s="646">
        <f t="shared" si="182"/>
        <v>0</v>
      </c>
      <c r="O103" s="646">
        <f t="shared" si="182"/>
        <v>0</v>
      </c>
      <c r="R103" s="554" t="s">
        <v>371</v>
      </c>
      <c r="S103" s="2">
        <v>3500</v>
      </c>
      <c r="T103" s="565">
        <f>$S$104*T102</f>
        <v>0</v>
      </c>
      <c r="U103" s="247">
        <f t="shared" ref="U103:AE103" si="183">$S$104*U102</f>
        <v>0</v>
      </c>
      <c r="V103" s="247">
        <f t="shared" si="183"/>
        <v>0</v>
      </c>
      <c r="W103" s="247">
        <f t="shared" si="183"/>
        <v>0</v>
      </c>
      <c r="X103" s="247">
        <f t="shared" si="183"/>
        <v>0</v>
      </c>
      <c r="Y103" s="247">
        <f t="shared" si="183"/>
        <v>0</v>
      </c>
      <c r="Z103" s="247">
        <f t="shared" si="183"/>
        <v>0</v>
      </c>
      <c r="AA103" s="247">
        <f t="shared" si="183"/>
        <v>0</v>
      </c>
      <c r="AB103" s="247">
        <f t="shared" si="183"/>
        <v>0</v>
      </c>
      <c r="AC103" s="247">
        <f t="shared" si="183"/>
        <v>0</v>
      </c>
      <c r="AD103" s="247">
        <f t="shared" si="183"/>
        <v>0</v>
      </c>
      <c r="AE103" s="561">
        <f t="shared" si="183"/>
        <v>0</v>
      </c>
      <c r="AH103" s="2" t="s">
        <v>513</v>
      </c>
      <c r="AI103" s="2">
        <v>30</v>
      </c>
      <c r="AJ103" s="2">
        <v>55</v>
      </c>
      <c r="AK103" s="2">
        <f>AI103*AJ103</f>
        <v>1650</v>
      </c>
      <c r="AL103" s="322">
        <f t="shared" si="181"/>
        <v>0.52380952380952384</v>
      </c>
    </row>
    <row r="104" spans="1:38" ht="13.5" thickBot="1" x14ac:dyDescent="0.25">
      <c r="A104" s="13"/>
      <c r="B104" s="13" t="s">
        <v>473</v>
      </c>
      <c r="C104" s="13" t="s">
        <v>40</v>
      </c>
      <c r="D104" s="646">
        <f>'P1 Feeding'!D20</f>
        <v>0</v>
      </c>
      <c r="E104" s="646">
        <f>'P1 Feeding'!E20</f>
        <v>0</v>
      </c>
      <c r="F104" s="646">
        <f>'P1 Feeding'!F20</f>
        <v>0</v>
      </c>
      <c r="G104" s="646">
        <f>'P1 Feeding'!G20</f>
        <v>0</v>
      </c>
      <c r="H104" s="646">
        <f>'P1 Feeding'!H20</f>
        <v>0</v>
      </c>
      <c r="I104" s="646">
        <f>'P1 Feeding'!I20</f>
        <v>0</v>
      </c>
      <c r="J104" s="646">
        <f>'P1 Feeding'!J20</f>
        <v>0</v>
      </c>
      <c r="K104" s="646">
        <f>'P1 Feeding'!K20</f>
        <v>0</v>
      </c>
      <c r="L104" s="646">
        <f>'P1 Feeding'!L20</f>
        <v>0</v>
      </c>
      <c r="M104" s="646">
        <f>'P1 Feeding'!M20</f>
        <v>0</v>
      </c>
      <c r="N104" s="646">
        <f>'P1 Feeding'!N20</f>
        <v>0</v>
      </c>
      <c r="O104" s="646">
        <f>'P1 Feeding'!O20</f>
        <v>0</v>
      </c>
      <c r="R104" s="555" t="s">
        <v>366</v>
      </c>
      <c r="S104" s="561">
        <f>S103*S101</f>
        <v>0</v>
      </c>
      <c r="AK104" s="2">
        <f>SUM(AK100:AK103)</f>
        <v>3150</v>
      </c>
    </row>
    <row r="105" spans="1:38" ht="13.5" thickBot="1" x14ac:dyDescent="0.25">
      <c r="A105" s="13"/>
      <c r="B105" s="13" t="s">
        <v>474</v>
      </c>
      <c r="C105" s="13" t="s">
        <v>41</v>
      </c>
      <c r="D105" s="310">
        <f>T107</f>
        <v>0.68809523809523809</v>
      </c>
      <c r="E105" s="310">
        <f>D105</f>
        <v>0.68809523809523809</v>
      </c>
      <c r="F105" s="310">
        <f t="shared" ref="F105" si="184">E105</f>
        <v>0.68809523809523809</v>
      </c>
      <c r="G105" s="310">
        <f t="shared" ref="G105" si="185">F105</f>
        <v>0.68809523809523809</v>
      </c>
      <c r="H105" s="310">
        <f t="shared" ref="H105" si="186">G105</f>
        <v>0.68809523809523809</v>
      </c>
      <c r="I105" s="310">
        <f t="shared" ref="I105" si="187">H105</f>
        <v>0.68809523809523809</v>
      </c>
      <c r="J105" s="310">
        <f t="shared" ref="J105" si="188">I105</f>
        <v>0.68809523809523809</v>
      </c>
      <c r="K105" s="310">
        <f t="shared" ref="K105" si="189">J105</f>
        <v>0.68809523809523809</v>
      </c>
      <c r="L105" s="310">
        <f t="shared" ref="L105" si="190">K105</f>
        <v>0.68809523809523809</v>
      </c>
      <c r="M105" s="310">
        <f t="shared" ref="M105" si="191">L105</f>
        <v>0.68809523809523809</v>
      </c>
      <c r="N105" s="310">
        <f t="shared" ref="N105" si="192">M105</f>
        <v>0.68809523809523809</v>
      </c>
      <c r="O105" s="310">
        <f t="shared" ref="O105" si="193">N105</f>
        <v>0.68809523809523809</v>
      </c>
    </row>
    <row r="106" spans="1:38" ht="13.5" thickBot="1" x14ac:dyDescent="0.25">
      <c r="A106" s="13">
        <f>MIN(D107:O107)</f>
        <v>0</v>
      </c>
      <c r="B106" s="13" t="s">
        <v>475</v>
      </c>
      <c r="C106" s="13" t="s">
        <v>40</v>
      </c>
      <c r="D106" s="646">
        <f>D104/D105</f>
        <v>0</v>
      </c>
      <c r="E106" s="646">
        <f t="shared" ref="E106:O106" si="194">E104/E105</f>
        <v>0</v>
      </c>
      <c r="F106" s="646">
        <f t="shared" si="194"/>
        <v>0</v>
      </c>
      <c r="G106" s="646">
        <f t="shared" si="194"/>
        <v>0</v>
      </c>
      <c r="H106" s="646">
        <f t="shared" si="194"/>
        <v>0</v>
      </c>
      <c r="I106" s="646">
        <f t="shared" si="194"/>
        <v>0</v>
      </c>
      <c r="J106" s="646">
        <f t="shared" si="194"/>
        <v>0</v>
      </c>
      <c r="K106" s="646">
        <f t="shared" si="194"/>
        <v>0</v>
      </c>
      <c r="L106" s="646">
        <f t="shared" si="194"/>
        <v>0</v>
      </c>
      <c r="M106" s="646">
        <f t="shared" si="194"/>
        <v>0</v>
      </c>
      <c r="N106" s="646">
        <f t="shared" si="194"/>
        <v>0</v>
      </c>
      <c r="O106" s="646">
        <f t="shared" si="194"/>
        <v>0</v>
      </c>
      <c r="R106" s="773" t="s">
        <v>500</v>
      </c>
      <c r="S106" s="762">
        <v>8.5</v>
      </c>
      <c r="T106" s="775">
        <f>S106/10.5</f>
        <v>0.80952380952380953</v>
      </c>
    </row>
    <row r="107" spans="1:38" ht="13.5" thickBot="1" x14ac:dyDescent="0.25">
      <c r="A107" s="249" t="s">
        <v>466</v>
      </c>
      <c r="B107" s="645">
        <v>0</v>
      </c>
      <c r="C107" s="247" t="s">
        <v>87</v>
      </c>
      <c r="D107" s="247">
        <f>B107+D103-D106</f>
        <v>0</v>
      </c>
      <c r="E107" s="247">
        <f t="shared" ref="E107" si="195">D107+E103-E106</f>
        <v>0</v>
      </c>
      <c r="F107" s="247">
        <f t="shared" ref="F107" si="196">E107+F103-F106</f>
        <v>0</v>
      </c>
      <c r="G107" s="247">
        <f t="shared" ref="G107" si="197">F107+G103-G106</f>
        <v>0</v>
      </c>
      <c r="H107" s="247">
        <f t="shared" ref="H107" si="198">G107+H103-H106</f>
        <v>0</v>
      </c>
      <c r="I107" s="247">
        <f t="shared" ref="I107" si="199">H107+I103-I106</f>
        <v>0</v>
      </c>
      <c r="J107" s="247">
        <f t="shared" ref="J107" si="200">I107+J103-J106</f>
        <v>0</v>
      </c>
      <c r="K107" s="247">
        <f t="shared" ref="K107" si="201">J107+K103-K106</f>
        <v>0</v>
      </c>
      <c r="L107" s="247">
        <f t="shared" ref="L107" si="202">K107+L103-L106</f>
        <v>0</v>
      </c>
      <c r="M107" s="247">
        <f t="shared" ref="M107" si="203">L107+M103-M106</f>
        <v>0</v>
      </c>
      <c r="N107" s="247">
        <f t="shared" ref="N107" si="204">M107+N103-N106</f>
        <v>0</v>
      </c>
      <c r="O107" s="247">
        <f t="shared" ref="O107" si="205">N107+O103-O106</f>
        <v>0</v>
      </c>
      <c r="R107" s="774" t="s">
        <v>501</v>
      </c>
      <c r="S107" s="764">
        <v>0.15</v>
      </c>
      <c r="T107" s="776">
        <f>1*(1-S107)*T106</f>
        <v>0.68809523809523809</v>
      </c>
    </row>
    <row r="108" spans="1:38" ht="13.5" thickBot="1" x14ac:dyDescent="0.25">
      <c r="B108" s="3"/>
      <c r="C108" s="3"/>
      <c r="D108" s="3"/>
      <c r="E108" s="3"/>
      <c r="F108" s="3"/>
      <c r="G108" s="3"/>
      <c r="H108" s="3"/>
      <c r="I108" s="3"/>
      <c r="J108" s="3"/>
      <c r="K108" s="3"/>
      <c r="L108" s="3"/>
      <c r="M108" s="3"/>
      <c r="N108" s="3"/>
      <c r="O108" s="3"/>
    </row>
    <row r="109" spans="1:38" x14ac:dyDescent="0.2">
      <c r="A109" s="19" t="str">
        <f>'P1 Area'!P17</f>
        <v>Fallow</v>
      </c>
      <c r="B109" s="19"/>
      <c r="C109" s="19"/>
      <c r="D109" s="19" t="str">
        <f>D100</f>
        <v>Mar</v>
      </c>
      <c r="E109" s="19" t="str">
        <f t="shared" ref="E109:O109" si="206">E100</f>
        <v>Apr</v>
      </c>
      <c r="F109" s="19" t="str">
        <f t="shared" si="206"/>
        <v>May</v>
      </c>
      <c r="G109" s="19" t="str">
        <f t="shared" si="206"/>
        <v>Jun</v>
      </c>
      <c r="H109" s="19" t="str">
        <f t="shared" si="206"/>
        <v>Jul</v>
      </c>
      <c r="I109" s="19" t="str">
        <f t="shared" si="206"/>
        <v>Aug</v>
      </c>
      <c r="J109" s="19" t="str">
        <f t="shared" si="206"/>
        <v>Sep</v>
      </c>
      <c r="K109" s="19" t="str">
        <f t="shared" si="206"/>
        <v>Oct</v>
      </c>
      <c r="L109" s="19" t="str">
        <f t="shared" si="206"/>
        <v>Nov</v>
      </c>
      <c r="M109" s="19" t="str">
        <f t="shared" si="206"/>
        <v>Dec</v>
      </c>
      <c r="N109" s="19" t="str">
        <f t="shared" si="206"/>
        <v>Jan</v>
      </c>
      <c r="O109" s="19" t="str">
        <f t="shared" si="206"/>
        <v>Feb</v>
      </c>
      <c r="R109" s="558" t="s">
        <v>365</v>
      </c>
      <c r="S109" s="559"/>
      <c r="T109" s="556" t="str">
        <f>D109</f>
        <v>Mar</v>
      </c>
      <c r="U109" s="19" t="str">
        <f t="shared" ref="U109" si="207">E109</f>
        <v>Apr</v>
      </c>
      <c r="V109" s="19" t="str">
        <f t="shared" ref="V109" si="208">F109</f>
        <v>May</v>
      </c>
      <c r="W109" s="19" t="str">
        <f t="shared" ref="W109" si="209">G109</f>
        <v>Jun</v>
      </c>
      <c r="X109" s="19" t="str">
        <f t="shared" ref="X109" si="210">H109</f>
        <v>Jul</v>
      </c>
      <c r="Y109" s="19" t="str">
        <f t="shared" ref="Y109" si="211">I109</f>
        <v>Aug</v>
      </c>
      <c r="Z109" s="19" t="str">
        <f t="shared" ref="Z109" si="212">J109</f>
        <v>Sep</v>
      </c>
      <c r="AA109" s="19" t="str">
        <f t="shared" ref="AA109" si="213">K109</f>
        <v>Oct</v>
      </c>
      <c r="AB109" s="19" t="str">
        <f t="shared" ref="AB109" si="214">L109</f>
        <v>Nov</v>
      </c>
      <c r="AC109" s="19" t="str">
        <f t="shared" ref="AC109" si="215">M109</f>
        <v>Dec</v>
      </c>
      <c r="AD109" s="19" t="str">
        <f t="shared" ref="AD109" si="216">N109</f>
        <v>Jan</v>
      </c>
      <c r="AE109" s="557" t="str">
        <f t="shared" ref="AE109" si="217">O109</f>
        <v>Feb</v>
      </c>
    </row>
    <row r="110" spans="1:38" x14ac:dyDescent="0.2">
      <c r="A110" s="15" t="s">
        <v>112</v>
      </c>
      <c r="B110" s="188" t="s">
        <v>90</v>
      </c>
      <c r="C110" s="189" t="s">
        <v>290</v>
      </c>
      <c r="D110" s="307"/>
      <c r="E110" s="307"/>
      <c r="F110" s="307"/>
      <c r="G110" s="307"/>
      <c r="H110" s="307"/>
      <c r="I110" s="307"/>
      <c r="J110" s="307"/>
      <c r="K110" s="307"/>
      <c r="L110" s="307"/>
      <c r="M110" s="307"/>
      <c r="N110" s="307"/>
      <c r="O110" s="308"/>
      <c r="R110" s="552" t="s">
        <v>370</v>
      </c>
      <c r="S110" s="560">
        <f>MAX(D111:O111)</f>
        <v>0</v>
      </c>
      <c r="T110" s="567"/>
      <c r="U110" s="568"/>
      <c r="V110" s="568"/>
      <c r="W110" s="568"/>
      <c r="X110" s="568"/>
      <c r="Y110" s="568"/>
      <c r="Z110" s="568"/>
      <c r="AA110" s="568"/>
      <c r="AB110" s="568"/>
      <c r="AC110" s="568"/>
      <c r="AD110" s="568"/>
      <c r="AE110" s="560"/>
    </row>
    <row r="111" spans="1:38" x14ac:dyDescent="0.2">
      <c r="A111" s="311"/>
      <c r="B111" s="244" t="s">
        <v>92</v>
      </c>
      <c r="C111" s="245" t="s">
        <v>22</v>
      </c>
      <c r="D111" s="635">
        <f>'P1 Area'!Q17</f>
        <v>0</v>
      </c>
      <c r="E111" s="635">
        <f>'P1 Area'!R17</f>
        <v>0</v>
      </c>
      <c r="F111" s="635">
        <f>'P1 Area'!S17</f>
        <v>0</v>
      </c>
      <c r="G111" s="635">
        <f>'P1 Area'!T17</f>
        <v>0</v>
      </c>
      <c r="H111" s="635">
        <f>'P1 Area'!U17</f>
        <v>0</v>
      </c>
      <c r="I111" s="635">
        <f>'P1 Area'!V17</f>
        <v>0</v>
      </c>
      <c r="J111" s="635">
        <f>'P1 Area'!W17</f>
        <v>0</v>
      </c>
      <c r="K111" s="635">
        <f>'P1 Area'!X17</f>
        <v>0</v>
      </c>
      <c r="L111" s="635">
        <f>'P1 Area'!Y17</f>
        <v>0</v>
      </c>
      <c r="M111" s="635">
        <f>'P1 Area'!Z17</f>
        <v>0</v>
      </c>
      <c r="N111" s="635">
        <f>'P1 Area'!AA17</f>
        <v>0</v>
      </c>
      <c r="O111" s="635">
        <f>'P1 Area'!AB17</f>
        <v>0</v>
      </c>
      <c r="R111" s="553" t="s">
        <v>369</v>
      </c>
      <c r="S111" s="566">
        <f>SUM(T111:AE111)</f>
        <v>0</v>
      </c>
      <c r="T111" s="563"/>
      <c r="U111" s="562"/>
      <c r="V111" s="562"/>
      <c r="W111" s="562"/>
      <c r="X111" s="562"/>
      <c r="Y111" s="562"/>
      <c r="Z111" s="562"/>
      <c r="AA111" s="562"/>
      <c r="AB111" s="562"/>
      <c r="AC111" s="562"/>
      <c r="AD111" s="562"/>
      <c r="AE111" s="564"/>
    </row>
    <row r="112" spans="1:38" ht="13.5" thickBot="1" x14ac:dyDescent="0.25">
      <c r="A112" s="13" t="e">
        <f>SUM(D112:O112)/MAX(D111:O111)</f>
        <v>#DIV/0!</v>
      </c>
      <c r="B112" s="13" t="s">
        <v>472</v>
      </c>
      <c r="C112" s="13" t="s">
        <v>40</v>
      </c>
      <c r="D112" s="646">
        <f>D110*D111</f>
        <v>0</v>
      </c>
      <c r="E112" s="646">
        <f t="shared" ref="E112:O112" si="218">E110*E111</f>
        <v>0</v>
      </c>
      <c r="F112" s="646">
        <f t="shared" si="218"/>
        <v>0</v>
      </c>
      <c r="G112" s="646">
        <f t="shared" si="218"/>
        <v>0</v>
      </c>
      <c r="H112" s="646">
        <f t="shared" si="218"/>
        <v>0</v>
      </c>
      <c r="I112" s="646">
        <f t="shared" si="218"/>
        <v>0</v>
      </c>
      <c r="J112" s="646">
        <f t="shared" si="218"/>
        <v>0</v>
      </c>
      <c r="K112" s="646">
        <f t="shared" si="218"/>
        <v>0</v>
      </c>
      <c r="L112" s="646">
        <f t="shared" si="218"/>
        <v>0</v>
      </c>
      <c r="M112" s="646">
        <f t="shared" si="218"/>
        <v>0</v>
      </c>
      <c r="N112" s="646">
        <f t="shared" si="218"/>
        <v>0</v>
      </c>
      <c r="O112" s="646">
        <f t="shared" si="218"/>
        <v>0</v>
      </c>
      <c r="R112" s="554" t="s">
        <v>371</v>
      </c>
      <c r="S112" s="2">
        <v>10000</v>
      </c>
      <c r="T112" s="565">
        <f>$S$113*T111</f>
        <v>0</v>
      </c>
      <c r="U112" s="247">
        <f t="shared" ref="U112:AE112" si="219">$S$113*U111</f>
        <v>0</v>
      </c>
      <c r="V112" s="247">
        <f t="shared" si="219"/>
        <v>0</v>
      </c>
      <c r="W112" s="247">
        <f t="shared" si="219"/>
        <v>0</v>
      </c>
      <c r="X112" s="247">
        <f t="shared" si="219"/>
        <v>0</v>
      </c>
      <c r="Y112" s="247">
        <f t="shared" si="219"/>
        <v>0</v>
      </c>
      <c r="Z112" s="247">
        <f t="shared" si="219"/>
        <v>0</v>
      </c>
      <c r="AA112" s="247">
        <f t="shared" si="219"/>
        <v>0</v>
      </c>
      <c r="AB112" s="247">
        <f t="shared" si="219"/>
        <v>0</v>
      </c>
      <c r="AC112" s="247">
        <f t="shared" si="219"/>
        <v>0</v>
      </c>
      <c r="AD112" s="247">
        <f t="shared" si="219"/>
        <v>0</v>
      </c>
      <c r="AE112" s="561">
        <f t="shared" si="219"/>
        <v>0</v>
      </c>
    </row>
    <row r="113" spans="1:20" ht="13.5" thickBot="1" x14ac:dyDescent="0.25">
      <c r="A113" s="13"/>
      <c r="B113" s="13" t="s">
        <v>473</v>
      </c>
      <c r="C113" s="13" t="s">
        <v>40</v>
      </c>
      <c r="D113" s="646">
        <f>'P1 Feeding'!D21</f>
        <v>0</v>
      </c>
      <c r="E113" s="646">
        <f>'P1 Feeding'!E21</f>
        <v>0</v>
      </c>
      <c r="F113" s="646">
        <f>'P1 Feeding'!F21</f>
        <v>0</v>
      </c>
      <c r="G113" s="646">
        <f>'P1 Feeding'!G21</f>
        <v>0</v>
      </c>
      <c r="H113" s="646">
        <f>'P1 Feeding'!H21</f>
        <v>0</v>
      </c>
      <c r="I113" s="646">
        <f>'P1 Feeding'!I21</f>
        <v>0</v>
      </c>
      <c r="J113" s="646">
        <f>'P1 Feeding'!J21</f>
        <v>0</v>
      </c>
      <c r="K113" s="646">
        <f>'P1 Feeding'!K21</f>
        <v>0</v>
      </c>
      <c r="L113" s="646">
        <f>'P1 Feeding'!L21</f>
        <v>0</v>
      </c>
      <c r="M113" s="646">
        <f>'P1 Feeding'!M21</f>
        <v>0</v>
      </c>
      <c r="N113" s="646">
        <f>'P1 Feeding'!N21</f>
        <v>0</v>
      </c>
      <c r="O113" s="646">
        <f>'P1 Feeding'!O21</f>
        <v>0</v>
      </c>
      <c r="R113" s="555" t="s">
        <v>366</v>
      </c>
      <c r="S113" s="561">
        <f>S112*S110</f>
        <v>0</v>
      </c>
    </row>
    <row r="114" spans="1:20" ht="13.5" thickBot="1" x14ac:dyDescent="0.25">
      <c r="A114" s="13"/>
      <c r="B114" s="13" t="s">
        <v>474</v>
      </c>
      <c r="C114" s="13" t="s">
        <v>41</v>
      </c>
      <c r="D114" s="310">
        <f>T116</f>
        <v>0.75</v>
      </c>
      <c r="E114" s="310">
        <f>D114</f>
        <v>0.75</v>
      </c>
      <c r="F114" s="310">
        <f t="shared" ref="F114" si="220">E114</f>
        <v>0.75</v>
      </c>
      <c r="G114" s="310">
        <f t="shared" ref="G114" si="221">F114</f>
        <v>0.75</v>
      </c>
      <c r="H114" s="310">
        <f t="shared" ref="H114" si="222">G114</f>
        <v>0.75</v>
      </c>
      <c r="I114" s="310">
        <f t="shared" ref="I114" si="223">H114</f>
        <v>0.75</v>
      </c>
      <c r="J114" s="310">
        <f t="shared" ref="J114" si="224">I114</f>
        <v>0.75</v>
      </c>
      <c r="K114" s="310">
        <f t="shared" ref="K114" si="225">J114</f>
        <v>0.75</v>
      </c>
      <c r="L114" s="310">
        <f t="shared" ref="L114" si="226">K114</f>
        <v>0.75</v>
      </c>
      <c r="M114" s="310">
        <f t="shared" ref="M114" si="227">L114</f>
        <v>0.75</v>
      </c>
      <c r="N114" s="310">
        <f t="shared" ref="N114" si="228">M114</f>
        <v>0.75</v>
      </c>
      <c r="O114" s="310">
        <f t="shared" ref="O114" si="229">N114</f>
        <v>0.75</v>
      </c>
    </row>
    <row r="115" spans="1:20" ht="13.5" thickBot="1" x14ac:dyDescent="0.25">
      <c r="A115" s="13">
        <f>MIN(D116:O116)</f>
        <v>0</v>
      </c>
      <c r="B115" s="13" t="s">
        <v>475</v>
      </c>
      <c r="C115" s="13" t="s">
        <v>40</v>
      </c>
      <c r="D115" s="646">
        <f>D113/D114</f>
        <v>0</v>
      </c>
      <c r="E115" s="646">
        <f t="shared" ref="E115:O115" si="230">E113/E114</f>
        <v>0</v>
      </c>
      <c r="F115" s="646">
        <f t="shared" si="230"/>
        <v>0</v>
      </c>
      <c r="G115" s="646">
        <f t="shared" si="230"/>
        <v>0</v>
      </c>
      <c r="H115" s="646">
        <f t="shared" si="230"/>
        <v>0</v>
      </c>
      <c r="I115" s="646">
        <f t="shared" si="230"/>
        <v>0</v>
      </c>
      <c r="J115" s="646">
        <f t="shared" si="230"/>
        <v>0</v>
      </c>
      <c r="K115" s="646">
        <f t="shared" si="230"/>
        <v>0</v>
      </c>
      <c r="L115" s="646">
        <f t="shared" si="230"/>
        <v>0</v>
      </c>
      <c r="M115" s="646">
        <f t="shared" si="230"/>
        <v>0</v>
      </c>
      <c r="N115" s="646">
        <f t="shared" si="230"/>
        <v>0</v>
      </c>
      <c r="O115" s="646">
        <f t="shared" si="230"/>
        <v>0</v>
      </c>
      <c r="R115" s="773" t="s">
        <v>500</v>
      </c>
      <c r="S115" s="762">
        <v>10.5</v>
      </c>
      <c r="T115" s="775">
        <f>S115/10.5</f>
        <v>1</v>
      </c>
    </row>
    <row r="116" spans="1:20" ht="13.5" thickBot="1" x14ac:dyDescent="0.25">
      <c r="A116" s="249" t="s">
        <v>466</v>
      </c>
      <c r="B116" s="645">
        <v>0</v>
      </c>
      <c r="C116" s="247" t="s">
        <v>87</v>
      </c>
      <c r="D116" s="247">
        <f>B116+D112-D115</f>
        <v>0</v>
      </c>
      <c r="E116" s="247">
        <f t="shared" ref="E116" si="231">D116+E112-E115</f>
        <v>0</v>
      </c>
      <c r="F116" s="247">
        <f t="shared" ref="F116" si="232">E116+F112-F115</f>
        <v>0</v>
      </c>
      <c r="G116" s="247">
        <f t="shared" ref="G116" si="233">F116+G112-G115</f>
        <v>0</v>
      </c>
      <c r="H116" s="247">
        <f t="shared" ref="H116" si="234">G116+H112-H115</f>
        <v>0</v>
      </c>
      <c r="I116" s="247">
        <f t="shared" ref="I116" si="235">H116+I112-I115</f>
        <v>0</v>
      </c>
      <c r="J116" s="247">
        <f t="shared" ref="J116" si="236">I116+J112-J115</f>
        <v>0</v>
      </c>
      <c r="K116" s="247">
        <f t="shared" ref="K116" si="237">J116+K112-K115</f>
        <v>0</v>
      </c>
      <c r="L116" s="247">
        <f t="shared" ref="L116" si="238">K116+L112-L115</f>
        <v>0</v>
      </c>
      <c r="M116" s="247">
        <f t="shared" ref="M116" si="239">L116+M112-M115</f>
        <v>0</v>
      </c>
      <c r="N116" s="247">
        <f t="shared" ref="N116" si="240">M116+N112-N115</f>
        <v>0</v>
      </c>
      <c r="O116" s="247">
        <f t="shared" ref="O116" si="241">N116+O112-O115</f>
        <v>0</v>
      </c>
      <c r="R116" s="774" t="s">
        <v>501</v>
      </c>
      <c r="S116" s="764">
        <v>0.25</v>
      </c>
      <c r="T116" s="776">
        <f>1*(1-S116)*T115</f>
        <v>0.75</v>
      </c>
    </row>
    <row r="117" spans="1:20" x14ac:dyDescent="0.2">
      <c r="B117" s="3"/>
      <c r="C117" s="3"/>
      <c r="D117" s="3"/>
      <c r="E117" s="3"/>
      <c r="F117" s="3"/>
      <c r="G117" s="3"/>
      <c r="H117" s="3"/>
      <c r="I117" s="3"/>
      <c r="J117" s="3"/>
      <c r="K117" s="3"/>
      <c r="L117" s="3"/>
      <c r="M117" s="3"/>
      <c r="N117" s="3"/>
      <c r="O117" s="3"/>
    </row>
    <row r="118" spans="1:20" x14ac:dyDescent="0.2">
      <c r="B118" s="3"/>
      <c r="C118" s="3"/>
      <c r="D118" s="3"/>
      <c r="E118" s="3"/>
      <c r="F118" s="3"/>
      <c r="G118" s="3"/>
      <c r="H118" s="3"/>
      <c r="I118" s="3"/>
      <c r="J118" s="3"/>
      <c r="K118" s="3"/>
      <c r="L118" s="3"/>
      <c r="M118" s="3"/>
      <c r="N118" s="3"/>
      <c r="O118" s="3"/>
    </row>
    <row r="119" spans="1:20" x14ac:dyDescent="0.2">
      <c r="B119" s="3"/>
      <c r="C119" s="3"/>
      <c r="D119" s="3"/>
      <c r="E119" s="3"/>
      <c r="F119" s="3"/>
      <c r="G119" s="3"/>
      <c r="H119" s="3"/>
      <c r="I119" s="3"/>
      <c r="J119" s="3"/>
      <c r="K119" s="3"/>
      <c r="L119" s="3"/>
      <c r="M119" s="3"/>
      <c r="N119" s="3"/>
      <c r="O119" s="3"/>
    </row>
    <row r="120" spans="1:20" x14ac:dyDescent="0.2">
      <c r="B120" s="3"/>
      <c r="C120" s="3"/>
      <c r="D120" s="3"/>
      <c r="E120" s="3"/>
      <c r="F120" s="3"/>
      <c r="G120" s="3"/>
      <c r="H120" s="3"/>
      <c r="I120" s="3"/>
      <c r="J120" s="3"/>
      <c r="K120" s="3"/>
      <c r="L120" s="3"/>
      <c r="M120" s="3"/>
      <c r="N120" s="3"/>
      <c r="O120" s="3"/>
    </row>
    <row r="121" spans="1:20" x14ac:dyDescent="0.2">
      <c r="B121" s="3"/>
      <c r="C121" s="3"/>
      <c r="D121" s="3"/>
      <c r="E121" s="3"/>
      <c r="F121" s="3"/>
      <c r="G121" s="3"/>
      <c r="H121" s="3"/>
      <c r="I121" s="3"/>
      <c r="J121" s="3"/>
      <c r="K121" s="3"/>
      <c r="L121" s="3"/>
      <c r="M121" s="3"/>
      <c r="N121" s="3"/>
      <c r="O121" s="3"/>
    </row>
    <row r="122" spans="1:20" x14ac:dyDescent="0.2">
      <c r="B122" s="3"/>
      <c r="C122" s="3"/>
      <c r="D122" s="3"/>
      <c r="E122" s="3"/>
      <c r="F122" s="3"/>
      <c r="G122" s="3"/>
      <c r="H122" s="3"/>
      <c r="I122" s="3"/>
      <c r="J122" s="3"/>
      <c r="K122" s="3"/>
      <c r="L122" s="3"/>
      <c r="M122" s="3"/>
      <c r="N122" s="3"/>
      <c r="O122" s="3"/>
    </row>
    <row r="123" spans="1:20" x14ac:dyDescent="0.2">
      <c r="B123" s="3"/>
      <c r="C123" s="3"/>
      <c r="D123" s="3"/>
      <c r="E123" s="3"/>
      <c r="F123" s="3"/>
      <c r="G123" s="3"/>
      <c r="H123" s="3"/>
      <c r="I123" s="3"/>
      <c r="J123" s="3"/>
      <c r="K123" s="3"/>
      <c r="L123" s="3"/>
      <c r="M123" s="3"/>
      <c r="N123" s="3"/>
      <c r="O123" s="3"/>
    </row>
    <row r="124" spans="1:20" x14ac:dyDescent="0.2">
      <c r="B124" s="3"/>
      <c r="C124" s="3"/>
      <c r="D124" s="3"/>
      <c r="E124" s="3"/>
      <c r="F124" s="3"/>
      <c r="G124" s="3"/>
      <c r="H124" s="3"/>
      <c r="I124" s="3"/>
      <c r="J124" s="3"/>
      <c r="K124" s="3"/>
      <c r="L124" s="3"/>
      <c r="M124" s="3"/>
      <c r="N124" s="3"/>
      <c r="O124" s="3"/>
    </row>
    <row r="125" spans="1:20" x14ac:dyDescent="0.2">
      <c r="B125" s="3"/>
      <c r="C125" s="3"/>
      <c r="D125" s="3"/>
      <c r="E125" s="3"/>
      <c r="F125" s="3"/>
      <c r="G125" s="3"/>
      <c r="H125" s="3"/>
      <c r="I125" s="3"/>
      <c r="J125" s="3"/>
      <c r="K125" s="3"/>
      <c r="L125" s="3"/>
      <c r="M125" s="3"/>
      <c r="N125" s="3"/>
      <c r="O125" s="3"/>
    </row>
    <row r="126" spans="1:20" x14ac:dyDescent="0.2">
      <c r="B126" s="3"/>
      <c r="C126" s="3"/>
      <c r="D126" s="3"/>
      <c r="E126" s="3"/>
      <c r="F126" s="3"/>
      <c r="G126" s="3"/>
      <c r="H126" s="3"/>
      <c r="I126" s="3"/>
      <c r="J126" s="3"/>
      <c r="K126" s="3"/>
      <c r="L126" s="3"/>
      <c r="M126" s="3"/>
      <c r="N126" s="3"/>
      <c r="O126" s="3"/>
    </row>
    <row r="127" spans="1:20" x14ac:dyDescent="0.2">
      <c r="B127" s="3"/>
      <c r="C127" s="3"/>
      <c r="D127" s="3"/>
      <c r="E127" s="3"/>
      <c r="F127" s="3"/>
      <c r="G127" s="3"/>
      <c r="H127" s="3"/>
      <c r="I127" s="3"/>
      <c r="J127" s="3"/>
      <c r="K127" s="3"/>
      <c r="L127" s="3"/>
      <c r="M127" s="3"/>
      <c r="N127" s="3"/>
      <c r="O127" s="3"/>
    </row>
    <row r="128" spans="1:20" x14ac:dyDescent="0.2">
      <c r="B128" s="3"/>
      <c r="C128" s="3"/>
      <c r="D128" s="3"/>
      <c r="E128" s="3"/>
      <c r="F128" s="3"/>
      <c r="G128" s="3"/>
      <c r="H128" s="3"/>
      <c r="I128" s="3"/>
      <c r="J128" s="3"/>
      <c r="K128" s="3"/>
      <c r="L128" s="3"/>
      <c r="M128" s="3"/>
      <c r="N128" s="3"/>
      <c r="O128" s="3"/>
    </row>
    <row r="129" spans="1:15" x14ac:dyDescent="0.2">
      <c r="B129" s="3"/>
      <c r="C129" s="3"/>
      <c r="D129" s="3"/>
      <c r="E129" s="3"/>
      <c r="F129" s="3"/>
      <c r="G129" s="3"/>
      <c r="H129" s="3"/>
      <c r="I129" s="3"/>
      <c r="J129" s="3"/>
      <c r="K129" s="3"/>
      <c r="L129" s="3"/>
      <c r="M129" s="3"/>
      <c r="N129" s="3"/>
      <c r="O129" s="3"/>
    </row>
    <row r="130" spans="1:15" x14ac:dyDescent="0.2">
      <c r="B130" s="3"/>
      <c r="C130" s="3"/>
      <c r="D130" s="3"/>
      <c r="E130" s="3"/>
      <c r="F130" s="3"/>
      <c r="G130" s="3"/>
      <c r="H130" s="3"/>
      <c r="I130" s="3"/>
      <c r="J130" s="3"/>
      <c r="K130" s="3"/>
      <c r="L130" s="3"/>
      <c r="M130" s="3"/>
      <c r="N130" s="3"/>
      <c r="O130" s="3"/>
    </row>
    <row r="131" spans="1:15" x14ac:dyDescent="0.2">
      <c r="B131" s="3"/>
      <c r="C131" s="3"/>
      <c r="D131" s="3"/>
      <c r="E131" s="3"/>
      <c r="F131" s="3"/>
      <c r="G131" s="3"/>
      <c r="H131" s="3"/>
      <c r="I131" s="3"/>
      <c r="J131" s="3"/>
      <c r="K131" s="3"/>
      <c r="L131" s="3"/>
      <c r="M131" s="3"/>
      <c r="N131" s="3"/>
      <c r="O131" s="3"/>
    </row>
    <row r="132" spans="1:15" x14ac:dyDescent="0.2">
      <c r="B132" s="3"/>
      <c r="C132" s="3"/>
      <c r="D132" s="3"/>
      <c r="E132" s="3"/>
      <c r="F132" s="3"/>
      <c r="G132" s="3"/>
      <c r="H132" s="3"/>
      <c r="I132" s="3"/>
      <c r="J132" s="3"/>
      <c r="K132" s="3"/>
      <c r="L132" s="3"/>
      <c r="M132" s="3"/>
      <c r="N132" s="3"/>
      <c r="O132" s="3"/>
    </row>
    <row r="133" spans="1:15" x14ac:dyDescent="0.2">
      <c r="B133" s="3"/>
      <c r="C133" s="3"/>
      <c r="D133" s="3"/>
      <c r="E133" s="3"/>
      <c r="F133" s="3"/>
      <c r="G133" s="3"/>
      <c r="H133" s="3"/>
      <c r="I133" s="3"/>
      <c r="J133" s="3"/>
      <c r="K133" s="3"/>
      <c r="L133" s="3"/>
      <c r="M133" s="3"/>
      <c r="N133" s="3"/>
      <c r="O133" s="3"/>
    </row>
    <row r="134" spans="1:15" x14ac:dyDescent="0.2">
      <c r="B134" s="3"/>
      <c r="C134" s="3"/>
      <c r="D134" s="3"/>
      <c r="E134" s="3"/>
      <c r="F134" s="3"/>
      <c r="G134" s="3"/>
      <c r="H134" s="3"/>
      <c r="I134" s="3"/>
      <c r="J134" s="3"/>
      <c r="K134" s="3"/>
      <c r="L134" s="3"/>
      <c r="M134" s="3"/>
      <c r="N134" s="3"/>
      <c r="O134" s="3"/>
    </row>
    <row r="135" spans="1:15" x14ac:dyDescent="0.2">
      <c r="B135" s="3"/>
      <c r="C135" s="3"/>
      <c r="D135" s="3"/>
      <c r="E135" s="3"/>
      <c r="F135" s="3"/>
      <c r="G135" s="3"/>
      <c r="H135" s="3"/>
      <c r="I135" s="3"/>
      <c r="J135" s="3"/>
      <c r="K135" s="3"/>
      <c r="L135" s="3"/>
      <c r="M135" s="3"/>
      <c r="N135" s="3"/>
      <c r="O135" s="3"/>
    </row>
    <row r="136" spans="1:15" x14ac:dyDescent="0.2">
      <c r="B136" s="3"/>
      <c r="C136" s="3"/>
      <c r="D136" s="3"/>
      <c r="E136" s="3"/>
      <c r="F136" s="3"/>
      <c r="G136" s="3"/>
      <c r="H136" s="3"/>
      <c r="I136" s="3"/>
      <c r="J136" s="3"/>
      <c r="K136" s="3"/>
      <c r="L136" s="3"/>
      <c r="M136" s="3"/>
      <c r="N136" s="3"/>
      <c r="O136" s="3"/>
    </row>
    <row r="137" spans="1:15" x14ac:dyDescent="0.2">
      <c r="B137" s="3"/>
      <c r="C137" s="3"/>
      <c r="D137" s="3"/>
      <c r="E137" s="3"/>
      <c r="F137" s="3"/>
      <c r="G137" s="3"/>
      <c r="H137" s="3"/>
      <c r="I137" s="3"/>
      <c r="J137" s="3"/>
      <c r="K137" s="3"/>
      <c r="L137" s="3"/>
      <c r="M137" s="3"/>
      <c r="N137" s="3"/>
      <c r="O137" s="3"/>
    </row>
    <row r="140" spans="1:15" ht="13.5" thickBot="1" x14ac:dyDescent="0.25"/>
    <row r="141" spans="1:15" x14ac:dyDescent="0.2">
      <c r="A141" s="250" t="s">
        <v>98</v>
      </c>
      <c r="B141" s="38"/>
      <c r="C141" s="38"/>
      <c r="D141" s="38"/>
      <c r="E141" s="38"/>
      <c r="F141" s="38"/>
      <c r="G141" s="251"/>
    </row>
    <row r="142" spans="1:15" x14ac:dyDescent="0.2">
      <c r="A142" s="252"/>
      <c r="B142" s="253" t="s">
        <v>99</v>
      </c>
      <c r="C142" s="253" t="s">
        <v>100</v>
      </c>
      <c r="D142" s="253" t="s">
        <v>96</v>
      </c>
      <c r="E142" s="253" t="s">
        <v>91</v>
      </c>
      <c r="F142" s="253" t="s">
        <v>97</v>
      </c>
      <c r="G142" s="254" t="s">
        <v>95</v>
      </c>
    </row>
    <row r="143" spans="1:15" x14ac:dyDescent="0.2">
      <c r="A143" s="255" t="s">
        <v>101</v>
      </c>
      <c r="B143" s="256">
        <v>70</v>
      </c>
      <c r="C143" s="256">
        <v>85</v>
      </c>
      <c r="D143" s="256"/>
      <c r="E143" s="256"/>
      <c r="F143" s="256"/>
      <c r="G143" s="257"/>
    </row>
    <row r="144" spans="1:15" x14ac:dyDescent="0.2">
      <c r="A144" s="255" t="s">
        <v>86</v>
      </c>
      <c r="B144" s="256"/>
      <c r="C144" s="256"/>
      <c r="D144" s="256">
        <v>85</v>
      </c>
      <c r="E144" s="256">
        <v>70</v>
      </c>
      <c r="F144" s="256"/>
      <c r="G144" s="257"/>
    </row>
    <row r="145" spans="1:7" ht="13.5" thickBot="1" x14ac:dyDescent="0.25">
      <c r="A145" s="258" t="s">
        <v>14</v>
      </c>
      <c r="B145" s="259"/>
      <c r="C145" s="259"/>
      <c r="D145" s="259"/>
      <c r="E145" s="259">
        <v>80</v>
      </c>
      <c r="F145" s="259">
        <v>90</v>
      </c>
      <c r="G145" s="260">
        <v>95</v>
      </c>
    </row>
  </sheetData>
  <mergeCells count="1">
    <mergeCell ref="A1:N1"/>
  </mergeCells>
  <hyperlinks>
    <hyperlink ref="A3" location="Instructions!A90" display="Instructions" xr:uid="{00000000-0004-0000-0400-000000000000}"/>
  </hyperlinks>
  <pageMargins left="0.70866141732283472" right="0.70866141732283472" top="0.74803149606299213" bottom="0.74803149606299213" header="0.31496062992125984" footer="0.31496062992125984"/>
  <pageSetup paperSize="9" scale="42"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D76A-B4AA-40A5-9D32-4E9DE09189BC}">
  <sheetPr>
    <tabColor rgb="FF00B0F0"/>
  </sheetPr>
  <dimension ref="A1:AI34"/>
  <sheetViews>
    <sheetView workbookViewId="0">
      <pane xSplit="3" ySplit="24" topLeftCell="D25" activePane="bottomRight" state="frozen"/>
      <selection pane="topRight" activeCell="D1" sqref="D1"/>
      <selection pane="bottomLeft" activeCell="A25" sqref="A25"/>
      <selection pane="bottomRight" activeCell="F8" sqref="F8:O22"/>
    </sheetView>
  </sheetViews>
  <sheetFormatPr defaultRowHeight="12.75" x14ac:dyDescent="0.2"/>
  <cols>
    <col min="1" max="1" width="29.5" style="2" customWidth="1"/>
    <col min="2" max="3" width="10.6640625" style="2" customWidth="1"/>
    <col min="4" max="15" width="10.5" style="2" customWidth="1"/>
    <col min="16" max="17" width="9.33203125" style="2"/>
    <col min="18" max="18" width="22.33203125" style="2" customWidth="1"/>
    <col min="19" max="16384" width="9.33203125" style="2"/>
  </cols>
  <sheetData>
    <row r="1" spans="1:35" ht="13.5" hidden="1" thickBot="1" x14ac:dyDescent="0.25">
      <c r="D1" s="2">
        <f>'P1 Bal'!E12</f>
        <v>31</v>
      </c>
      <c r="E1" s="2">
        <f>'P1 Bal'!F12</f>
        <v>30</v>
      </c>
      <c r="F1" s="2">
        <f>'P1 Bal'!G12</f>
        <v>31</v>
      </c>
      <c r="G1" s="2">
        <f>'P1 Bal'!H12</f>
        <v>30</v>
      </c>
      <c r="H1" s="2">
        <f>'P1 Bal'!I12</f>
        <v>31</v>
      </c>
      <c r="I1" s="2">
        <f>'P1 Bal'!J12</f>
        <v>31</v>
      </c>
      <c r="J1" s="2">
        <f>'P1 Bal'!K12</f>
        <v>30</v>
      </c>
      <c r="K1" s="2">
        <f>'P1 Bal'!L12</f>
        <v>31</v>
      </c>
      <c r="L1" s="2">
        <f>'P1 Bal'!M12</f>
        <v>30</v>
      </c>
      <c r="M1" s="2">
        <f>'P1 Bal'!N12</f>
        <v>31</v>
      </c>
      <c r="N1" s="2">
        <f>'P1 Bal'!O12</f>
        <v>31</v>
      </c>
      <c r="O1" s="2">
        <f>'P1 Bal'!P12</f>
        <v>28</v>
      </c>
    </row>
    <row r="2" spans="1:35" ht="13.5" thickBot="1" x14ac:dyDescent="0.25">
      <c r="B2" s="2" t="s">
        <v>0</v>
      </c>
      <c r="C2" s="2" t="s">
        <v>456</v>
      </c>
      <c r="D2" s="636" t="str">
        <f>'P1 Area'!C6</f>
        <v>Mar</v>
      </c>
      <c r="E2" s="636" t="str">
        <f>'P1 Area'!D6</f>
        <v>Apr</v>
      </c>
      <c r="F2" s="636" t="str">
        <f>'P1 Area'!E6</f>
        <v>May</v>
      </c>
      <c r="G2" s="636" t="str">
        <f>'P1 Area'!F6</f>
        <v>Jun</v>
      </c>
      <c r="H2" s="636" t="str">
        <f>'P1 Area'!G6</f>
        <v>Jul</v>
      </c>
      <c r="I2" s="636" t="str">
        <f>'P1 Area'!H6</f>
        <v>Aug</v>
      </c>
      <c r="J2" s="636" t="str">
        <f>'P1 Area'!I6</f>
        <v>Sep</v>
      </c>
      <c r="K2" s="636" t="str">
        <f>'P1 Area'!J6</f>
        <v>Oct</v>
      </c>
      <c r="L2" s="636" t="str">
        <f>'P1 Area'!K6</f>
        <v>Nov</v>
      </c>
      <c r="M2" s="636" t="str">
        <f>'P1 Area'!L6</f>
        <v>Dec</v>
      </c>
      <c r="N2" s="636" t="str">
        <f>'P1 Area'!M6</f>
        <v>Jan</v>
      </c>
      <c r="O2" s="636" t="str">
        <f>'P1 Area'!N6</f>
        <v>Feb</v>
      </c>
      <c r="R2" s="669" t="s">
        <v>489</v>
      </c>
      <c r="S2" s="670"/>
      <c r="T2" s="671" t="str">
        <f>D2</f>
        <v>Mar</v>
      </c>
      <c r="U2" s="671" t="str">
        <f t="shared" ref="U2:AD2" si="0">E2</f>
        <v>Apr</v>
      </c>
      <c r="V2" s="671" t="str">
        <f t="shared" si="0"/>
        <v>May</v>
      </c>
      <c r="W2" s="671" t="str">
        <f t="shared" si="0"/>
        <v>Jun</v>
      </c>
      <c r="X2" s="671" t="str">
        <f t="shared" si="0"/>
        <v>Jul</v>
      </c>
      <c r="Y2" s="671" t="str">
        <f t="shared" si="0"/>
        <v>Aug</v>
      </c>
      <c r="Z2" s="671" t="str">
        <f t="shared" si="0"/>
        <v>Sep</v>
      </c>
      <c r="AA2" s="671" t="str">
        <f t="shared" si="0"/>
        <v>Oct</v>
      </c>
      <c r="AB2" s="671" t="str">
        <f t="shared" si="0"/>
        <v>Nov</v>
      </c>
      <c r="AC2" s="671" t="str">
        <f t="shared" si="0"/>
        <v>Dec</v>
      </c>
      <c r="AD2" s="671" t="str">
        <f t="shared" si="0"/>
        <v>Jan</v>
      </c>
      <c r="AE2" s="671" t="str">
        <f>O2</f>
        <v>Feb</v>
      </c>
      <c r="AF2" s="672" t="s">
        <v>0</v>
      </c>
    </row>
    <row r="3" spans="1:35" ht="13.5" thickBot="1" x14ac:dyDescent="0.25">
      <c r="A3" s="2" t="s">
        <v>455</v>
      </c>
      <c r="D3" s="636">
        <f>'P1 Bal'!E88</f>
        <v>806620</v>
      </c>
      <c r="E3" s="636">
        <f>'P1 Bal'!F88</f>
        <v>780600</v>
      </c>
      <c r="F3" s="636">
        <f>'P1 Bal'!G88</f>
        <v>797878</v>
      </c>
      <c r="G3" s="636">
        <f>'P1 Bal'!H88</f>
        <v>768045</v>
      </c>
      <c r="H3" s="636">
        <f>'P1 Bal'!I88</f>
        <v>822098.29999999993</v>
      </c>
      <c r="I3" s="636">
        <f>'P1 Bal'!J88</f>
        <v>856037.1</v>
      </c>
      <c r="J3" s="636">
        <f>'P1 Bal'!K88</f>
        <v>828741</v>
      </c>
      <c r="K3" s="636">
        <f>'P1 Bal'!L88</f>
        <v>848460.70000000007</v>
      </c>
      <c r="L3" s="636">
        <f>'P1 Bal'!M88</f>
        <v>813441</v>
      </c>
      <c r="M3" s="636">
        <f>'P1 Bal'!N88</f>
        <v>832650.70000000007</v>
      </c>
      <c r="N3" s="636">
        <f>'P1 Bal'!O88</f>
        <v>824745.70000000007</v>
      </c>
      <c r="O3" s="636">
        <f>'P1 Bal'!P88</f>
        <v>737791.6</v>
      </c>
      <c r="R3" s="668" t="str">
        <f>Trnsf!A20</f>
        <v>Irr - Crop 1 (Lucern)</v>
      </c>
      <c r="S3" s="665" t="s">
        <v>492</v>
      </c>
      <c r="T3" s="665">
        <f>Trnsf!D20</f>
        <v>0</v>
      </c>
      <c r="U3" s="665">
        <f>Trnsf!E20</f>
        <v>0</v>
      </c>
      <c r="V3" s="665">
        <f>Trnsf!F20</f>
        <v>0</v>
      </c>
      <c r="W3" s="665">
        <f>Trnsf!G20</f>
        <v>0</v>
      </c>
      <c r="X3" s="665">
        <f>Trnsf!H20</f>
        <v>0</v>
      </c>
      <c r="Y3" s="665">
        <f>Trnsf!I20</f>
        <v>0</v>
      </c>
      <c r="Z3" s="665">
        <f>Trnsf!J20</f>
        <v>0</v>
      </c>
      <c r="AA3" s="665">
        <f>Trnsf!K20</f>
        <v>0</v>
      </c>
      <c r="AB3" s="665">
        <f>Trnsf!L20</f>
        <v>0</v>
      </c>
      <c r="AC3" s="665">
        <f>Trnsf!M20</f>
        <v>0</v>
      </c>
      <c r="AD3" s="665">
        <f>Trnsf!N20</f>
        <v>0</v>
      </c>
      <c r="AE3" s="665">
        <f>Trnsf!O20</f>
        <v>0</v>
      </c>
      <c r="AF3" s="144">
        <f>SUM(T3:AE3)</f>
        <v>0</v>
      </c>
    </row>
    <row r="4" spans="1:35" ht="13.5" thickBot="1" x14ac:dyDescent="0.25">
      <c r="A4" s="2" t="s">
        <v>452</v>
      </c>
      <c r="B4" s="2">
        <f t="shared" ref="B4:B22" si="1">SUM(D4:O4)</f>
        <v>0</v>
      </c>
      <c r="C4" s="2">
        <f>B4/Financial!D3</f>
        <v>0</v>
      </c>
      <c r="D4" s="2">
        <f>'P1 Bal'!E51</f>
        <v>0</v>
      </c>
      <c r="E4" s="2">
        <f>'P1 Bal'!F51</f>
        <v>0</v>
      </c>
      <c r="F4" s="2">
        <f>'P1 Bal'!G51</f>
        <v>0</v>
      </c>
      <c r="G4" s="2">
        <f>'P1 Bal'!H51</f>
        <v>0</v>
      </c>
      <c r="H4" s="2">
        <f>'P1 Bal'!I51</f>
        <v>0</v>
      </c>
      <c r="I4" s="2">
        <f>'P1 Bal'!J51</f>
        <v>0</v>
      </c>
      <c r="J4" s="2">
        <f>'P1 Bal'!K51</f>
        <v>0</v>
      </c>
      <c r="K4" s="2">
        <f>'P1 Bal'!L51</f>
        <v>0</v>
      </c>
      <c r="L4" s="2">
        <f>'P1 Bal'!M51</f>
        <v>0</v>
      </c>
      <c r="M4" s="2">
        <f>'P1 Bal'!N51</f>
        <v>0</v>
      </c>
      <c r="N4" s="2">
        <f>'P1 Bal'!O51</f>
        <v>0</v>
      </c>
      <c r="O4" s="2">
        <f>'P1 Bal'!P51</f>
        <v>0</v>
      </c>
      <c r="R4" s="659"/>
      <c r="S4" s="660" t="s">
        <v>497</v>
      </c>
      <c r="T4" s="664">
        <f t="shared" ref="T4:AE4" si="2">D12</f>
        <v>0</v>
      </c>
      <c r="U4" s="664">
        <f t="shared" si="2"/>
        <v>0</v>
      </c>
      <c r="V4" s="664">
        <f t="shared" si="2"/>
        <v>0</v>
      </c>
      <c r="W4" s="664">
        <f t="shared" si="2"/>
        <v>0</v>
      </c>
      <c r="X4" s="664">
        <f t="shared" si="2"/>
        <v>0</v>
      </c>
      <c r="Y4" s="664">
        <f t="shared" si="2"/>
        <v>0</v>
      </c>
      <c r="Z4" s="664">
        <f t="shared" si="2"/>
        <v>0</v>
      </c>
      <c r="AA4" s="664">
        <f t="shared" si="2"/>
        <v>0</v>
      </c>
      <c r="AB4" s="664">
        <f t="shared" si="2"/>
        <v>0</v>
      </c>
      <c r="AC4" s="664">
        <f t="shared" si="2"/>
        <v>0</v>
      </c>
      <c r="AD4" s="664">
        <f t="shared" si="2"/>
        <v>0</v>
      </c>
      <c r="AE4" s="664">
        <f t="shared" si="2"/>
        <v>0</v>
      </c>
      <c r="AF4" s="661">
        <f>SUM(T4:AE4)</f>
        <v>0</v>
      </c>
      <c r="AG4" s="763" t="s">
        <v>500</v>
      </c>
      <c r="AH4" s="762">
        <v>9</v>
      </c>
      <c r="AI4" s="765">
        <f>AH4/10.5</f>
        <v>0.8571428571428571</v>
      </c>
    </row>
    <row r="5" spans="1:35" ht="13.5" thickBot="1" x14ac:dyDescent="0.25">
      <c r="A5" s="2" t="s">
        <v>322</v>
      </c>
      <c r="B5" s="2">
        <f t="shared" si="1"/>
        <v>3618605.480769231</v>
      </c>
      <c r="C5" s="2">
        <f>B5/Financial!D3</f>
        <v>2545.4008481626524</v>
      </c>
      <c r="D5" s="2">
        <f>D26*'P1 Bal'!E56*D1</f>
        <v>275709.23076923081</v>
      </c>
      <c r="E5" s="2">
        <f>E26*'P1 Bal'!F56*E1</f>
        <v>276750</v>
      </c>
      <c r="F5" s="2">
        <f>F26*'P1 Bal'!G56*F1</f>
        <v>279930</v>
      </c>
      <c r="G5" s="2">
        <f>G26*'P1 Bal'!H56*G1</f>
        <v>276637.5</v>
      </c>
      <c r="H5" s="2">
        <f>H26*'P1 Bal'!I56*H1</f>
        <v>315386.25</v>
      </c>
      <c r="I5" s="2">
        <f>I26*'P1 Bal'!J56*I1</f>
        <v>331196.25</v>
      </c>
      <c r="J5" s="2">
        <f>J26*'P1 Bal'!K56*J1</f>
        <v>317137.5</v>
      </c>
      <c r="K5" s="2">
        <f>K26*'P1 Bal'!L56*K1</f>
        <v>324221.25</v>
      </c>
      <c r="L5" s="2">
        <f>L26*'P1 Bal'!M56*L1</f>
        <v>310387.5</v>
      </c>
      <c r="M5" s="2">
        <f>M26*'P1 Bal'!N56*M1</f>
        <v>317246.25</v>
      </c>
      <c r="N5" s="2">
        <f>N26*'P1 Bal'!O56*N1</f>
        <v>313758.75</v>
      </c>
      <c r="O5" s="2">
        <f>O26*'P1 Bal'!P56*O1</f>
        <v>280245</v>
      </c>
      <c r="R5" s="659"/>
      <c r="S5" s="660" t="s">
        <v>498</v>
      </c>
      <c r="T5" s="760">
        <f>AI5</f>
        <v>0.64285714285714279</v>
      </c>
      <c r="U5" s="760">
        <f>T5</f>
        <v>0.64285714285714279</v>
      </c>
      <c r="V5" s="760">
        <f t="shared" ref="V5:AE5" si="3">U5</f>
        <v>0.64285714285714279</v>
      </c>
      <c r="W5" s="760">
        <f t="shared" si="3"/>
        <v>0.64285714285714279</v>
      </c>
      <c r="X5" s="760">
        <f t="shared" si="3"/>
        <v>0.64285714285714279</v>
      </c>
      <c r="Y5" s="760">
        <f t="shared" si="3"/>
        <v>0.64285714285714279</v>
      </c>
      <c r="Z5" s="760">
        <f t="shared" si="3"/>
        <v>0.64285714285714279</v>
      </c>
      <c r="AA5" s="760">
        <f t="shared" si="3"/>
        <v>0.64285714285714279</v>
      </c>
      <c r="AB5" s="760">
        <f t="shared" si="3"/>
        <v>0.64285714285714279</v>
      </c>
      <c r="AC5" s="760">
        <f t="shared" si="3"/>
        <v>0.64285714285714279</v>
      </c>
      <c r="AD5" s="760">
        <f t="shared" si="3"/>
        <v>0.64285714285714279</v>
      </c>
      <c r="AE5" s="760">
        <f t="shared" si="3"/>
        <v>0.64285714285714279</v>
      </c>
      <c r="AF5" s="661"/>
      <c r="AG5" s="662" t="s">
        <v>501</v>
      </c>
      <c r="AH5" s="764">
        <v>0.25</v>
      </c>
      <c r="AI5" s="766">
        <f>1*(1-AH5)*AI4</f>
        <v>0.64285714285714279</v>
      </c>
    </row>
    <row r="6" spans="1:35" x14ac:dyDescent="0.2">
      <c r="A6" s="2" t="s">
        <v>323</v>
      </c>
      <c r="B6" s="2">
        <f t="shared" si="1"/>
        <v>35113</v>
      </c>
      <c r="D6" s="2">
        <f>D28*'P1 Bal'!E57*'P1 Feeding'!D1</f>
        <v>4216</v>
      </c>
      <c r="E6" s="2">
        <f>E28*'P1 Bal'!F57*'P1 Feeding'!E1</f>
        <v>4080</v>
      </c>
      <c r="F6" s="2">
        <f>F28*'P1 Bal'!G57*'P1 Feeding'!F1</f>
        <v>4712</v>
      </c>
      <c r="G6" s="2">
        <f>G28*'P1 Bal'!H57*'P1 Feeding'!G1</f>
        <v>4320</v>
      </c>
      <c r="H6" s="2">
        <f>H28*'P1 Bal'!I57*'P1 Feeding'!H1</f>
        <v>2945</v>
      </c>
      <c r="I6" s="2">
        <f>I28*'P1 Bal'!J57*'P1 Feeding'!I1</f>
        <v>2170</v>
      </c>
      <c r="J6" s="2">
        <f>J28*'P1 Bal'!K57*'P1 Feeding'!J1</f>
        <v>2100</v>
      </c>
      <c r="K6" s="2">
        <f>K28*'P1 Bal'!L57*'P1 Feeding'!K1</f>
        <v>2170</v>
      </c>
      <c r="L6" s="2">
        <f>L28*'P1 Bal'!M57*'P1 Feeding'!L1</f>
        <v>2100</v>
      </c>
      <c r="M6" s="2">
        <f>M28*'P1 Bal'!N57*'P1 Feeding'!M1</f>
        <v>2170</v>
      </c>
      <c r="N6" s="2">
        <f>N28*'P1 Bal'!O57*'P1 Feeding'!N1</f>
        <v>2170</v>
      </c>
      <c r="O6" s="2">
        <f>O28*'P1 Bal'!P57*'P1 Feeding'!O1</f>
        <v>1960</v>
      </c>
      <c r="R6" s="659"/>
      <c r="S6" s="660" t="s">
        <v>499</v>
      </c>
      <c r="T6" s="757">
        <f>T4/T5</f>
        <v>0</v>
      </c>
      <c r="U6" s="757">
        <f t="shared" ref="U6:AE6" si="4">U4/U5</f>
        <v>0</v>
      </c>
      <c r="V6" s="757">
        <f t="shared" si="4"/>
        <v>0</v>
      </c>
      <c r="W6" s="757">
        <f t="shared" si="4"/>
        <v>0</v>
      </c>
      <c r="X6" s="757">
        <f t="shared" si="4"/>
        <v>0</v>
      </c>
      <c r="Y6" s="757">
        <f t="shared" si="4"/>
        <v>0</v>
      </c>
      <c r="Z6" s="757">
        <f t="shared" si="4"/>
        <v>0</v>
      </c>
      <c r="AA6" s="757">
        <f t="shared" si="4"/>
        <v>0</v>
      </c>
      <c r="AB6" s="757">
        <f t="shared" si="4"/>
        <v>0</v>
      </c>
      <c r="AC6" s="757">
        <f t="shared" si="4"/>
        <v>0</v>
      </c>
      <c r="AD6" s="757">
        <f t="shared" si="4"/>
        <v>0</v>
      </c>
      <c r="AE6" s="757">
        <f t="shared" si="4"/>
        <v>0</v>
      </c>
      <c r="AF6" s="661"/>
    </row>
    <row r="7" spans="1:35" x14ac:dyDescent="0.2">
      <c r="A7" s="2" t="s">
        <v>358</v>
      </c>
      <c r="B7" s="2">
        <f t="shared" si="1"/>
        <v>220167</v>
      </c>
      <c r="D7" s="2">
        <f>(D29*'P1 Bal'!E58+D30*'P1 Bal'!E59+'P1 Feeding'!D31*'P1 Bal'!E60)*'P1 Feeding'!D1</f>
        <v>7440</v>
      </c>
      <c r="E7" s="2">
        <f>(E29*'P1 Bal'!F58+E30*'P1 Bal'!F59+'P1 Feeding'!E31*'P1 Bal'!F60)*'P1 Feeding'!E1</f>
        <v>18450</v>
      </c>
      <c r="F7" s="2">
        <f>(F29*'P1 Bal'!G58+F30*'P1 Bal'!G59+'P1 Feeding'!F31*'P1 Bal'!G60)*'P1 Feeding'!F1</f>
        <v>35507.4</v>
      </c>
      <c r="G7" s="2">
        <f>(G29*'P1 Bal'!H58+G30*'P1 Bal'!H59+'P1 Feeding'!G31*'P1 Bal'!H60)*'P1 Feeding'!G1</f>
        <v>34044</v>
      </c>
      <c r="H7" s="2">
        <f>(H29*'P1 Bal'!I58+H30*'P1 Bal'!I59+'P1 Feeding'!H31*'P1 Bal'!I60)*'P1 Feeding'!H1</f>
        <v>33430.400000000001</v>
      </c>
      <c r="I7" s="2">
        <f>(I29*'P1 Bal'!J58+I30*'P1 Bal'!J59+'P1 Feeding'!I31*'P1 Bal'!J60)*'P1 Feeding'!I1</f>
        <v>28991.200000000001</v>
      </c>
      <c r="J7" s="2">
        <f>(J29*'P1 Bal'!K58+J30*'P1 Bal'!K59+'P1 Feeding'!J31*'P1 Bal'!K60)*'P1 Feeding'!J1</f>
        <v>26064</v>
      </c>
      <c r="K7" s="2">
        <f>(K29*'P1 Bal'!L58+K30*'P1 Bal'!L59+'P1 Feeding'!K31*'P1 Bal'!L60)*'P1 Feeding'!K1</f>
        <v>7439.9999999999982</v>
      </c>
      <c r="L7" s="2">
        <f>(L29*'P1 Bal'!M58+L30*'P1 Bal'!M59+'P1 Feeding'!L31*'P1 Bal'!M60)*'P1 Feeding'!L1</f>
        <v>7199.9999999999982</v>
      </c>
      <c r="M7" s="2">
        <f>(M29*'P1 Bal'!N58+M30*'P1 Bal'!N59+'P1 Feeding'!M31*'P1 Bal'!N60)*'P1 Feeding'!M1</f>
        <v>7439.9999999999982</v>
      </c>
      <c r="N7" s="2">
        <f>(N29*'P1 Bal'!O58+N30*'P1 Bal'!O59+'P1 Feeding'!N31*'P1 Bal'!O60)*'P1 Feeding'!N1</f>
        <v>7439.9999999999982</v>
      </c>
      <c r="O7" s="2">
        <f>(O29*'P1 Bal'!P58+O30*'P1 Bal'!P59+'P1 Feeding'!O31*'P1 Bal'!P60)*'P1 Feeding'!O1</f>
        <v>6719.9999999999982</v>
      </c>
      <c r="R7" s="659">
        <v>0</v>
      </c>
      <c r="S7" s="660" t="s">
        <v>453</v>
      </c>
      <c r="T7" s="666">
        <f>R7+T3-T6</f>
        <v>0</v>
      </c>
      <c r="U7" s="666">
        <f>T7+U3-U6</f>
        <v>0</v>
      </c>
      <c r="V7" s="666">
        <f t="shared" ref="V7:AE7" si="5">U7+V3-V6</f>
        <v>0</v>
      </c>
      <c r="W7" s="666">
        <f t="shared" si="5"/>
        <v>0</v>
      </c>
      <c r="X7" s="666">
        <f t="shared" si="5"/>
        <v>0</v>
      </c>
      <c r="Y7" s="666">
        <f t="shared" si="5"/>
        <v>0</v>
      </c>
      <c r="Z7" s="666">
        <f t="shared" si="5"/>
        <v>0</v>
      </c>
      <c r="AA7" s="666">
        <f t="shared" si="5"/>
        <v>0</v>
      </c>
      <c r="AB7" s="666">
        <f t="shared" si="5"/>
        <v>0</v>
      </c>
      <c r="AC7" s="666">
        <f t="shared" si="5"/>
        <v>0</v>
      </c>
      <c r="AD7" s="666">
        <f t="shared" si="5"/>
        <v>0</v>
      </c>
      <c r="AE7" s="666">
        <f t="shared" si="5"/>
        <v>0</v>
      </c>
      <c r="AF7" s="661">
        <f>MIN(T7:AE7)</f>
        <v>0</v>
      </c>
    </row>
    <row r="8" spans="1:35" x14ac:dyDescent="0.2">
      <c r="A8" s="655" t="str">
        <f>'P1 Supps'!A6</f>
        <v>Lucern</v>
      </c>
      <c r="B8" s="2">
        <f t="shared" si="1"/>
        <v>330000</v>
      </c>
      <c r="F8" s="2">
        <v>150000</v>
      </c>
      <c r="G8" s="2">
        <v>75000</v>
      </c>
      <c r="H8" s="2">
        <v>75000</v>
      </c>
      <c r="I8" s="2">
        <v>30000</v>
      </c>
      <c r="R8" s="659"/>
      <c r="S8" s="660"/>
      <c r="T8" s="665"/>
      <c r="U8" s="665"/>
      <c r="V8" s="665"/>
      <c r="W8" s="665"/>
      <c r="X8" s="665"/>
      <c r="Y8" s="665"/>
      <c r="Z8" s="665"/>
      <c r="AA8" s="665"/>
      <c r="AB8" s="665"/>
      <c r="AC8" s="665"/>
      <c r="AD8" s="665"/>
      <c r="AE8" s="665"/>
      <c r="AF8" s="661"/>
    </row>
    <row r="9" spans="1:35" ht="13.5" thickBot="1" x14ac:dyDescent="0.25">
      <c r="A9" s="655" t="str">
        <f>'P1 Supps'!A17</f>
        <v>Brewers Grain</v>
      </c>
      <c r="B9" s="2">
        <f t="shared" si="1"/>
        <v>500000</v>
      </c>
      <c r="F9" s="2">
        <v>50000</v>
      </c>
      <c r="G9" s="2">
        <f>F9</f>
        <v>50000</v>
      </c>
      <c r="H9" s="2">
        <f t="shared" ref="H9:O9" si="6">G9</f>
        <v>50000</v>
      </c>
      <c r="I9" s="2">
        <f t="shared" si="6"/>
        <v>50000</v>
      </c>
      <c r="J9" s="2">
        <f t="shared" si="6"/>
        <v>50000</v>
      </c>
      <c r="K9" s="2">
        <f t="shared" si="6"/>
        <v>50000</v>
      </c>
      <c r="L9" s="2">
        <f t="shared" si="6"/>
        <v>50000</v>
      </c>
      <c r="M9" s="2">
        <f t="shared" si="6"/>
        <v>50000</v>
      </c>
      <c r="N9" s="2">
        <f t="shared" si="6"/>
        <v>50000</v>
      </c>
      <c r="O9" s="2">
        <f t="shared" si="6"/>
        <v>50000</v>
      </c>
      <c r="R9" s="667" t="str">
        <f>Trnsf!A21</f>
        <v>Irr - Crop 2 (Oats)</v>
      </c>
      <c r="S9" s="660" t="s">
        <v>492</v>
      </c>
      <c r="T9" s="660">
        <f>Trnsf!D21</f>
        <v>0</v>
      </c>
      <c r="U9" s="660">
        <f>Trnsf!E21</f>
        <v>0</v>
      </c>
      <c r="V9" s="660">
        <f>Trnsf!F21</f>
        <v>0</v>
      </c>
      <c r="W9" s="660">
        <f>Trnsf!G21</f>
        <v>0</v>
      </c>
      <c r="X9" s="660">
        <f>Trnsf!H21</f>
        <v>0</v>
      </c>
      <c r="Y9" s="660">
        <f>Trnsf!I21</f>
        <v>0</v>
      </c>
      <c r="Z9" s="660">
        <f>Trnsf!J21</f>
        <v>0</v>
      </c>
      <c r="AA9" s="660">
        <f>Trnsf!K21</f>
        <v>0</v>
      </c>
      <c r="AB9" s="660">
        <f>Trnsf!L21</f>
        <v>0</v>
      </c>
      <c r="AC9" s="660">
        <f>Trnsf!M21</f>
        <v>0</v>
      </c>
      <c r="AD9" s="660">
        <f>Trnsf!N21</f>
        <v>0</v>
      </c>
      <c r="AE9" s="660">
        <f>Trnsf!O21</f>
        <v>0</v>
      </c>
      <c r="AF9" s="661">
        <f t="shared" ref="AF9:AF10" si="7">SUM(T9:AE9)</f>
        <v>0</v>
      </c>
    </row>
    <row r="10" spans="1:35" ht="13.5" thickBot="1" x14ac:dyDescent="0.25">
      <c r="A10" s="655" t="str">
        <f>'P1 Supps'!A28</f>
        <v>Teff</v>
      </c>
      <c r="B10" s="2">
        <f t="shared" si="1"/>
        <v>130000</v>
      </c>
      <c r="F10" s="2">
        <v>50000</v>
      </c>
      <c r="G10" s="2">
        <v>50000</v>
      </c>
      <c r="H10" s="2">
        <v>30000</v>
      </c>
      <c r="R10" s="659"/>
      <c r="S10" s="660" t="s">
        <v>497</v>
      </c>
      <c r="T10" s="660">
        <f t="shared" ref="T10:AE10" si="8">D13</f>
        <v>0</v>
      </c>
      <c r="U10" s="660">
        <f t="shared" si="8"/>
        <v>0</v>
      </c>
      <c r="V10" s="660">
        <f t="shared" si="8"/>
        <v>0</v>
      </c>
      <c r="W10" s="660">
        <f t="shared" si="8"/>
        <v>0</v>
      </c>
      <c r="X10" s="660">
        <f t="shared" si="8"/>
        <v>0</v>
      </c>
      <c r="Y10" s="660">
        <f t="shared" si="8"/>
        <v>0</v>
      </c>
      <c r="Z10" s="660">
        <f t="shared" si="8"/>
        <v>0</v>
      </c>
      <c r="AA10" s="660">
        <f t="shared" si="8"/>
        <v>0</v>
      </c>
      <c r="AB10" s="660">
        <f t="shared" si="8"/>
        <v>0</v>
      </c>
      <c r="AC10" s="660">
        <f t="shared" si="8"/>
        <v>0</v>
      </c>
      <c r="AD10" s="660">
        <f t="shared" si="8"/>
        <v>0</v>
      </c>
      <c r="AE10" s="660">
        <f t="shared" si="8"/>
        <v>0</v>
      </c>
      <c r="AF10" s="661">
        <f t="shared" si="7"/>
        <v>0</v>
      </c>
      <c r="AG10" s="763" t="s">
        <v>500</v>
      </c>
      <c r="AH10" s="762">
        <v>8.8000000000000007</v>
      </c>
      <c r="AI10" s="765">
        <f>AH10/10.5</f>
        <v>0.83809523809523812</v>
      </c>
    </row>
    <row r="11" spans="1:35" ht="13.5" thickBot="1" x14ac:dyDescent="0.25">
      <c r="A11" s="655" t="str">
        <f>'P1 Supps'!A39</f>
        <v>Citrus Pulp</v>
      </c>
      <c r="B11" s="2">
        <f t="shared" si="1"/>
        <v>80000</v>
      </c>
      <c r="F11" s="2">
        <v>50000</v>
      </c>
      <c r="H11" s="2">
        <v>30000</v>
      </c>
      <c r="R11" s="659"/>
      <c r="S11" s="660" t="s">
        <v>498</v>
      </c>
      <c r="T11" s="761">
        <f>AI11</f>
        <v>0.62857142857142856</v>
      </c>
      <c r="U11" s="761">
        <f>T11</f>
        <v>0.62857142857142856</v>
      </c>
      <c r="V11" s="761">
        <f t="shared" ref="V11:AE11" si="9">U11</f>
        <v>0.62857142857142856</v>
      </c>
      <c r="W11" s="761">
        <f t="shared" si="9"/>
        <v>0.62857142857142856</v>
      </c>
      <c r="X11" s="761">
        <f t="shared" si="9"/>
        <v>0.62857142857142856</v>
      </c>
      <c r="Y11" s="761">
        <f t="shared" si="9"/>
        <v>0.62857142857142856</v>
      </c>
      <c r="Z11" s="761">
        <f t="shared" si="9"/>
        <v>0.62857142857142856</v>
      </c>
      <c r="AA11" s="761">
        <f t="shared" si="9"/>
        <v>0.62857142857142856</v>
      </c>
      <c r="AB11" s="761">
        <f t="shared" si="9"/>
        <v>0.62857142857142856</v>
      </c>
      <c r="AC11" s="761">
        <f t="shared" si="9"/>
        <v>0.62857142857142856</v>
      </c>
      <c r="AD11" s="761">
        <f t="shared" si="9"/>
        <v>0.62857142857142856</v>
      </c>
      <c r="AE11" s="761">
        <f t="shared" si="9"/>
        <v>0.62857142857142856</v>
      </c>
      <c r="AF11" s="661"/>
      <c r="AG11" s="662" t="s">
        <v>501</v>
      </c>
      <c r="AH11" s="764">
        <v>0.25</v>
      </c>
      <c r="AI11" s="766">
        <f>1*(1-AH11)*AI10</f>
        <v>0.62857142857142856</v>
      </c>
    </row>
    <row r="12" spans="1:35" x14ac:dyDescent="0.2">
      <c r="A12" s="656" t="str">
        <f>Trnsf!A20</f>
        <v>Irr - Crop 1 (Lucern)</v>
      </c>
      <c r="C12" s="767" t="str">
        <f>IF(AF7&lt;0,"No Stock","OK")</f>
        <v>OK</v>
      </c>
      <c r="R12" s="659"/>
      <c r="S12" s="660" t="s">
        <v>499</v>
      </c>
      <c r="T12" s="759">
        <f>T10/T11</f>
        <v>0</v>
      </c>
      <c r="U12" s="759">
        <f t="shared" ref="U12:AE12" si="10">U10/U11</f>
        <v>0</v>
      </c>
      <c r="V12" s="759">
        <f t="shared" si="10"/>
        <v>0</v>
      </c>
      <c r="W12" s="759">
        <f t="shared" si="10"/>
        <v>0</v>
      </c>
      <c r="X12" s="759">
        <f t="shared" si="10"/>
        <v>0</v>
      </c>
      <c r="Y12" s="759">
        <f t="shared" si="10"/>
        <v>0</v>
      </c>
      <c r="Z12" s="759">
        <f t="shared" si="10"/>
        <v>0</v>
      </c>
      <c r="AA12" s="759">
        <f t="shared" si="10"/>
        <v>0</v>
      </c>
      <c r="AB12" s="759">
        <f t="shared" si="10"/>
        <v>0</v>
      </c>
      <c r="AC12" s="759">
        <f t="shared" si="10"/>
        <v>0</v>
      </c>
      <c r="AD12" s="759">
        <f t="shared" si="10"/>
        <v>0</v>
      </c>
      <c r="AE12" s="759">
        <f t="shared" si="10"/>
        <v>0</v>
      </c>
      <c r="AF12" s="661"/>
    </row>
    <row r="13" spans="1:35" x14ac:dyDescent="0.2">
      <c r="A13" s="656" t="str">
        <f>Trnsf!A21</f>
        <v>Irr - Crop 2 (Oats)</v>
      </c>
      <c r="C13" s="767" t="str">
        <f>IF(AF13&lt;0,"No Stock","OK")</f>
        <v>OK</v>
      </c>
      <c r="F13" s="370"/>
      <c r="R13" s="659">
        <v>32000</v>
      </c>
      <c r="S13" s="660" t="s">
        <v>453</v>
      </c>
      <c r="T13" s="666">
        <f>R13+T9-T12</f>
        <v>32000</v>
      </c>
      <c r="U13" s="666">
        <f>T13+U9-U12</f>
        <v>32000</v>
      </c>
      <c r="V13" s="666">
        <f t="shared" ref="V13:AE13" si="11">U13+V9-V12</f>
        <v>32000</v>
      </c>
      <c r="W13" s="666">
        <f t="shared" si="11"/>
        <v>32000</v>
      </c>
      <c r="X13" s="666">
        <f t="shared" si="11"/>
        <v>32000</v>
      </c>
      <c r="Y13" s="666">
        <f t="shared" si="11"/>
        <v>32000</v>
      </c>
      <c r="Z13" s="666">
        <f t="shared" si="11"/>
        <v>32000</v>
      </c>
      <c r="AA13" s="666">
        <f t="shared" si="11"/>
        <v>32000</v>
      </c>
      <c r="AB13" s="666">
        <f t="shared" si="11"/>
        <v>32000</v>
      </c>
      <c r="AC13" s="666">
        <f t="shared" si="11"/>
        <v>32000</v>
      </c>
      <c r="AD13" s="666">
        <f t="shared" si="11"/>
        <v>32000</v>
      </c>
      <c r="AE13" s="666">
        <f t="shared" si="11"/>
        <v>32000</v>
      </c>
      <c r="AF13" s="661">
        <f>MIN(T13:AE13)</f>
        <v>32000</v>
      </c>
    </row>
    <row r="14" spans="1:35" x14ac:dyDescent="0.2">
      <c r="A14" s="656" t="str">
        <f>Trnsf!A22</f>
        <v>Irr - Crop 3 (Sorgum)</v>
      </c>
      <c r="C14" s="767" t="str">
        <f>IF(AF19&lt;0,"No Stock","OK")</f>
        <v>OK</v>
      </c>
      <c r="R14" s="659"/>
      <c r="S14" s="660"/>
      <c r="T14" s="660"/>
      <c r="U14" s="660"/>
      <c r="V14" s="660"/>
      <c r="W14" s="660"/>
      <c r="X14" s="660"/>
      <c r="Y14" s="660"/>
      <c r="Z14" s="660"/>
      <c r="AA14" s="660"/>
      <c r="AB14" s="660"/>
      <c r="AC14" s="660"/>
      <c r="AD14" s="660"/>
      <c r="AE14" s="660"/>
      <c r="AF14" s="661"/>
    </row>
    <row r="15" spans="1:35" ht="13.5" thickBot="1" x14ac:dyDescent="0.25">
      <c r="A15" s="656">
        <f>Trnsf!A23</f>
        <v>0</v>
      </c>
      <c r="R15" s="667" t="str">
        <f>Trnsf!A22</f>
        <v>Irr - Crop 3 (Sorgum)</v>
      </c>
      <c r="S15" s="660" t="s">
        <v>492</v>
      </c>
      <c r="T15" s="660">
        <f>Trnsf!D22</f>
        <v>0</v>
      </c>
      <c r="U15" s="660">
        <f>Trnsf!E22</f>
        <v>0</v>
      </c>
      <c r="V15" s="660">
        <f>Trnsf!F22</f>
        <v>0</v>
      </c>
      <c r="W15" s="660">
        <f>Trnsf!G22</f>
        <v>0</v>
      </c>
      <c r="X15" s="660">
        <f>Trnsf!H22</f>
        <v>0</v>
      </c>
      <c r="Y15" s="660">
        <f>Trnsf!I22</f>
        <v>0</v>
      </c>
      <c r="Z15" s="660">
        <f>Trnsf!J22</f>
        <v>0</v>
      </c>
      <c r="AA15" s="660">
        <f>Trnsf!K22</f>
        <v>0</v>
      </c>
      <c r="AB15" s="660">
        <f>Trnsf!L22</f>
        <v>0</v>
      </c>
      <c r="AC15" s="660">
        <f>Trnsf!M22</f>
        <v>0</v>
      </c>
      <c r="AD15" s="660">
        <f>Trnsf!N22</f>
        <v>0</v>
      </c>
      <c r="AE15" s="660">
        <f>Trnsf!O22</f>
        <v>0</v>
      </c>
      <c r="AF15" s="661">
        <f t="shared" ref="AF15:AF16" si="12">SUM(T15:AE15)</f>
        <v>0</v>
      </c>
    </row>
    <row r="16" spans="1:35" ht="13.5" thickBot="1" x14ac:dyDescent="0.25">
      <c r="A16" s="657">
        <f>'P1 Area'!P12</f>
        <v>0</v>
      </c>
      <c r="B16" s="2">
        <f t="shared" si="1"/>
        <v>0</v>
      </c>
      <c r="C16" s="658" t="str">
        <f>IF('P1 Supps'!A67&lt;0,"No Stock","OK")</f>
        <v>OK</v>
      </c>
      <c r="P16" s="2">
        <f>SUM('P1 Supps'!D64:O64)-'P1 Feeding'!B16</f>
        <v>0</v>
      </c>
      <c r="R16" s="659"/>
      <c r="S16" s="660" t="s">
        <v>497</v>
      </c>
      <c r="T16" s="664">
        <f>D14</f>
        <v>0</v>
      </c>
      <c r="U16" s="664">
        <f t="shared" ref="U16:AE16" si="13">E14</f>
        <v>0</v>
      </c>
      <c r="V16" s="664">
        <f t="shared" si="13"/>
        <v>0</v>
      </c>
      <c r="W16" s="664">
        <f t="shared" si="13"/>
        <v>0</v>
      </c>
      <c r="X16" s="664">
        <f t="shared" si="13"/>
        <v>0</v>
      </c>
      <c r="Y16" s="664">
        <f t="shared" si="13"/>
        <v>0</v>
      </c>
      <c r="Z16" s="664">
        <f t="shared" si="13"/>
        <v>0</v>
      </c>
      <c r="AA16" s="664">
        <f t="shared" si="13"/>
        <v>0</v>
      </c>
      <c r="AB16" s="664">
        <f t="shared" si="13"/>
        <v>0</v>
      </c>
      <c r="AC16" s="664">
        <f t="shared" si="13"/>
        <v>0</v>
      </c>
      <c r="AD16" s="664">
        <f t="shared" si="13"/>
        <v>0</v>
      </c>
      <c r="AE16" s="664">
        <f t="shared" si="13"/>
        <v>0</v>
      </c>
      <c r="AF16" s="661">
        <f t="shared" si="12"/>
        <v>0</v>
      </c>
      <c r="AG16" s="763" t="s">
        <v>500</v>
      </c>
      <c r="AH16" s="762">
        <v>8.5</v>
      </c>
      <c r="AI16" s="765">
        <f>AH16/10.5</f>
        <v>0.80952380952380953</v>
      </c>
    </row>
    <row r="17" spans="1:35" ht="13.5" thickBot="1" x14ac:dyDescent="0.25">
      <c r="A17" s="657">
        <f>'P1 Area'!P13</f>
        <v>0</v>
      </c>
      <c r="B17" s="2">
        <f t="shared" si="1"/>
        <v>0</v>
      </c>
      <c r="C17" s="658" t="str">
        <f>IF('P1 Supps'!A77&lt;0,"No Stock","OK")</f>
        <v>OK</v>
      </c>
      <c r="P17" s="2">
        <f>SUM('P1 Supps'!D74:O74)-'P1 Feeding'!B17</f>
        <v>0</v>
      </c>
      <c r="R17" s="758"/>
      <c r="S17" s="660" t="s">
        <v>498</v>
      </c>
      <c r="T17" s="761">
        <f>AI17</f>
        <v>0.60714285714285721</v>
      </c>
      <c r="U17" s="761">
        <f>T17</f>
        <v>0.60714285714285721</v>
      </c>
      <c r="V17" s="761">
        <f t="shared" ref="V17:AE17" si="14">U17</f>
        <v>0.60714285714285721</v>
      </c>
      <c r="W17" s="761">
        <f t="shared" si="14"/>
        <v>0.60714285714285721</v>
      </c>
      <c r="X17" s="761">
        <f t="shared" si="14"/>
        <v>0.60714285714285721</v>
      </c>
      <c r="Y17" s="761">
        <f t="shared" si="14"/>
        <v>0.60714285714285721</v>
      </c>
      <c r="Z17" s="761">
        <f t="shared" si="14"/>
        <v>0.60714285714285721</v>
      </c>
      <c r="AA17" s="761">
        <f t="shared" si="14"/>
        <v>0.60714285714285721</v>
      </c>
      <c r="AB17" s="761">
        <f t="shared" si="14"/>
        <v>0.60714285714285721</v>
      </c>
      <c r="AC17" s="761">
        <f t="shared" si="14"/>
        <v>0.60714285714285721</v>
      </c>
      <c r="AD17" s="761">
        <f t="shared" si="14"/>
        <v>0.60714285714285721</v>
      </c>
      <c r="AE17" s="761">
        <f t="shared" si="14"/>
        <v>0.60714285714285721</v>
      </c>
      <c r="AF17" s="148"/>
      <c r="AG17" s="662" t="s">
        <v>501</v>
      </c>
      <c r="AH17" s="764">
        <v>0.25</v>
      </c>
      <c r="AI17" s="766">
        <f>1*(1-AH17)*AI16</f>
        <v>0.60714285714285721</v>
      </c>
    </row>
    <row r="18" spans="1:35" hidden="1" x14ac:dyDescent="0.2">
      <c r="A18" s="657">
        <f>'P1 Area'!P14</f>
        <v>0</v>
      </c>
      <c r="B18" s="2">
        <f t="shared" si="1"/>
        <v>0</v>
      </c>
      <c r="C18" s="658" t="str">
        <f>IF('P1 Supps'!A87&lt;0,"No Stock","OK")</f>
        <v>OK</v>
      </c>
      <c r="P18" s="2">
        <f>SUM('P1 Supps'!D84:O84)-'P1 Feeding'!B18</f>
        <v>0</v>
      </c>
      <c r="R18" s="758"/>
      <c r="S18" s="660" t="s">
        <v>499</v>
      </c>
      <c r="T18" s="759">
        <f>T16/T17</f>
        <v>0</v>
      </c>
      <c r="U18" s="759">
        <f t="shared" ref="U18" si="15">U16/U17</f>
        <v>0</v>
      </c>
      <c r="V18" s="759">
        <f t="shared" ref="V18" si="16">V16/V17</f>
        <v>0</v>
      </c>
      <c r="W18" s="759">
        <f t="shared" ref="W18" si="17">W16/W17</f>
        <v>0</v>
      </c>
      <c r="X18" s="759">
        <f t="shared" ref="X18" si="18">X16/X17</f>
        <v>0</v>
      </c>
      <c r="Y18" s="759">
        <f t="shared" ref="Y18" si="19">Y16/Y17</f>
        <v>0</v>
      </c>
      <c r="Z18" s="759">
        <f t="shared" ref="Z18" si="20">Z16/Z17</f>
        <v>0</v>
      </c>
      <c r="AA18" s="759">
        <f t="shared" ref="AA18" si="21">AA16/AA17</f>
        <v>0</v>
      </c>
      <c r="AB18" s="759">
        <f t="shared" ref="AB18" si="22">AB16/AB17</f>
        <v>0</v>
      </c>
      <c r="AC18" s="759">
        <f t="shared" ref="AC18" si="23">AC16/AC17</f>
        <v>0</v>
      </c>
      <c r="AD18" s="759">
        <f t="shared" ref="AD18" si="24">AD16/AD17</f>
        <v>0</v>
      </c>
      <c r="AE18" s="759">
        <f t="shared" ref="AE18" si="25">AE16/AE17</f>
        <v>0</v>
      </c>
      <c r="AF18" s="148"/>
    </row>
    <row r="19" spans="1:35" ht="13.5" hidden="1" thickBot="1" x14ac:dyDescent="0.25">
      <c r="A19" s="657">
        <f>'P1 Area'!P15</f>
        <v>0</v>
      </c>
      <c r="B19" s="2">
        <f t="shared" si="1"/>
        <v>0</v>
      </c>
      <c r="C19" s="658" t="str">
        <f>IF('P1 Supps'!A97&lt;0,"No Stock","OK")</f>
        <v>OK</v>
      </c>
      <c r="P19" s="2">
        <f>SUM('P1 Supps'!D94:O94)-'P1 Feeding'!B19</f>
        <v>0</v>
      </c>
      <c r="R19" s="662">
        <v>33000</v>
      </c>
      <c r="S19" s="663" t="s">
        <v>453</v>
      </c>
      <c r="T19" s="673">
        <f>R19+T15-T18</f>
        <v>33000</v>
      </c>
      <c r="U19" s="673">
        <f>T19+U15-U18</f>
        <v>33000</v>
      </c>
      <c r="V19" s="673">
        <f t="shared" ref="V19" si="26">U19+V15-V18</f>
        <v>33000</v>
      </c>
      <c r="W19" s="673">
        <f t="shared" ref="W19" si="27">V19+W15-W18</f>
        <v>33000</v>
      </c>
      <c r="X19" s="673">
        <f t="shared" ref="X19" si="28">W19+X15-X18</f>
        <v>33000</v>
      </c>
      <c r="Y19" s="673">
        <f t="shared" ref="Y19" si="29">X19+Y15-Y18</f>
        <v>33000</v>
      </c>
      <c r="Z19" s="673">
        <f t="shared" ref="Z19" si="30">Y19+Z15-Z18</f>
        <v>33000</v>
      </c>
      <c r="AA19" s="673">
        <f t="shared" ref="AA19" si="31">Z19+AA15-AA18</f>
        <v>33000</v>
      </c>
      <c r="AB19" s="673">
        <f t="shared" ref="AB19" si="32">AA19+AB15-AB18</f>
        <v>33000</v>
      </c>
      <c r="AC19" s="673">
        <f t="shared" ref="AC19" si="33">AB19+AC15-AC18</f>
        <v>33000</v>
      </c>
      <c r="AD19" s="673">
        <f t="shared" ref="AD19" si="34">AC19+AD15-AD18</f>
        <v>33000</v>
      </c>
      <c r="AE19" s="673">
        <f t="shared" ref="AE19" si="35">AD19+AE15-AE18</f>
        <v>33000</v>
      </c>
      <c r="AF19" s="155">
        <f>MIN(T19:AE19)</f>
        <v>33000</v>
      </c>
    </row>
    <row r="20" spans="1:35" hidden="1" x14ac:dyDescent="0.2">
      <c r="A20" s="657">
        <f>'P1 Area'!P16</f>
        <v>0</v>
      </c>
      <c r="B20" s="2">
        <f t="shared" si="1"/>
        <v>0</v>
      </c>
      <c r="C20" s="658" t="str">
        <f>IF('P1 Supps'!A106&lt;0,"No Stock","OK")</f>
        <v>OK</v>
      </c>
      <c r="P20" s="2">
        <f>SUM('P1 Supps'!D103:O103)-'P1 Feeding'!B20</f>
        <v>0</v>
      </c>
    </row>
    <row r="21" spans="1:35" x14ac:dyDescent="0.2">
      <c r="A21" s="657" t="str">
        <f>'P1 Area'!P17</f>
        <v>Fallow</v>
      </c>
      <c r="B21" s="2">
        <f t="shared" si="1"/>
        <v>0</v>
      </c>
      <c r="C21" s="658" t="str">
        <f>IF('P1 Supps'!A115&lt;0,"No Stock","OK")</f>
        <v>OK</v>
      </c>
      <c r="P21" s="2">
        <f>SUM('P1 Supps'!D112:O112)-'P1 Feeding'!B21</f>
        <v>0</v>
      </c>
    </row>
    <row r="22" spans="1:35" x14ac:dyDescent="0.2">
      <c r="A22" s="657" t="s">
        <v>454</v>
      </c>
      <c r="B22" s="2">
        <f t="shared" si="1"/>
        <v>-570000</v>
      </c>
      <c r="C22" s="658" t="str">
        <f>IF('P1 Supps'!O57&lt;0,"No Stock","OK")</f>
        <v>OK</v>
      </c>
      <c r="D22" s="654"/>
      <c r="E22" s="654"/>
      <c r="F22" s="654"/>
      <c r="G22" s="654"/>
      <c r="H22" s="654"/>
      <c r="I22" s="654"/>
      <c r="J22" s="654"/>
      <c r="K22" s="654">
        <v>-250000</v>
      </c>
      <c r="L22" s="654">
        <v>-320000</v>
      </c>
      <c r="M22" s="654"/>
      <c r="N22" s="654"/>
      <c r="O22" s="654"/>
    </row>
    <row r="23" spans="1:35" x14ac:dyDescent="0.2">
      <c r="A23" s="2" t="s">
        <v>453</v>
      </c>
      <c r="D23" s="637">
        <f t="shared" ref="D23:O23" si="36">SUM(D4:D22)-D3</f>
        <v>-519254.76923076919</v>
      </c>
      <c r="E23" s="637">
        <f t="shared" si="36"/>
        <v>-481320</v>
      </c>
      <c r="F23" s="637">
        <f t="shared" si="36"/>
        <v>-177728.59999999998</v>
      </c>
      <c r="G23" s="637">
        <f t="shared" si="36"/>
        <v>-278043.5</v>
      </c>
      <c r="H23" s="637">
        <f t="shared" si="36"/>
        <v>-285336.64999999991</v>
      </c>
      <c r="I23" s="637">
        <f t="shared" si="36"/>
        <v>-413679.64999999997</v>
      </c>
      <c r="J23" s="637">
        <f t="shared" si="36"/>
        <v>-433439.5</v>
      </c>
      <c r="K23" s="637">
        <f t="shared" si="36"/>
        <v>-714629.45000000007</v>
      </c>
      <c r="L23" s="637">
        <f t="shared" si="36"/>
        <v>-763753.5</v>
      </c>
      <c r="M23" s="637">
        <f t="shared" si="36"/>
        <v>-455794.45000000007</v>
      </c>
      <c r="N23" s="637">
        <f t="shared" si="36"/>
        <v>-451376.95000000007</v>
      </c>
      <c r="O23" s="637">
        <f t="shared" si="36"/>
        <v>-398866.6</v>
      </c>
    </row>
    <row r="24" spans="1:35" x14ac:dyDescent="0.2">
      <c r="A24" s="2" t="s">
        <v>478</v>
      </c>
      <c r="D24" s="647" t="e">
        <f>'P1 Bal'!E112</f>
        <v>#DIV/0!</v>
      </c>
      <c r="E24" s="647" t="e">
        <f>'P1 Bal'!F112</f>
        <v>#DIV/0!</v>
      </c>
      <c r="F24" s="647" t="e">
        <f>'P1 Bal'!G112</f>
        <v>#DIV/0!</v>
      </c>
      <c r="G24" s="647" t="e">
        <f>'P1 Bal'!H112</f>
        <v>#DIV/0!</v>
      </c>
      <c r="H24" s="647" t="e">
        <f>'P1 Bal'!I112</f>
        <v>#DIV/0!</v>
      </c>
      <c r="I24" s="647" t="e">
        <f>'P1 Bal'!J112</f>
        <v>#DIV/0!</v>
      </c>
      <c r="J24" s="647" t="e">
        <f>'P1 Bal'!K112</f>
        <v>#DIV/0!</v>
      </c>
      <c r="K24" s="647" t="e">
        <f>'P1 Bal'!L112</f>
        <v>#DIV/0!</v>
      </c>
      <c r="L24" s="647" t="e">
        <f>'P1 Bal'!M112</f>
        <v>#DIV/0!</v>
      </c>
      <c r="M24" s="647" t="e">
        <f>'P1 Bal'!N112</f>
        <v>#DIV/0!</v>
      </c>
      <c r="N24" s="647" t="e">
        <f>'P1 Bal'!O112</f>
        <v>#DIV/0!</v>
      </c>
      <c r="O24" s="647" t="e">
        <f>'P1 Bal'!P112</f>
        <v>#DIV/0!</v>
      </c>
    </row>
    <row r="25" spans="1:35" x14ac:dyDescent="0.2">
      <c r="A25" s="638" t="s">
        <v>314</v>
      </c>
    </row>
    <row r="26" spans="1:35" x14ac:dyDescent="0.2">
      <c r="A26" s="2" t="str">
        <f>'P1 Bal'!C73</f>
        <v>Cows in Milk</v>
      </c>
      <c r="D26" s="370">
        <f>9400/1300</f>
        <v>7.2307692307692308</v>
      </c>
      <c r="E26" s="370">
        <v>7.5</v>
      </c>
      <c r="F26" s="370">
        <f>E26</f>
        <v>7.5</v>
      </c>
      <c r="G26" s="370">
        <f t="shared" ref="G26:O26" si="37">F26</f>
        <v>7.5</v>
      </c>
      <c r="H26" s="370">
        <f t="shared" si="37"/>
        <v>7.5</v>
      </c>
      <c r="I26" s="370">
        <f t="shared" si="37"/>
        <v>7.5</v>
      </c>
      <c r="J26" s="370">
        <f t="shared" si="37"/>
        <v>7.5</v>
      </c>
      <c r="K26" s="370">
        <f t="shared" si="37"/>
        <v>7.5</v>
      </c>
      <c r="L26" s="370">
        <f t="shared" si="37"/>
        <v>7.5</v>
      </c>
      <c r="M26" s="370">
        <f t="shared" si="37"/>
        <v>7.5</v>
      </c>
      <c r="N26" s="370">
        <f t="shared" si="37"/>
        <v>7.5</v>
      </c>
      <c r="O26" s="370">
        <f t="shared" si="37"/>
        <v>7.5</v>
      </c>
    </row>
    <row r="27" spans="1:35" x14ac:dyDescent="0.2">
      <c r="A27" s="2" t="s">
        <v>496</v>
      </c>
      <c r="D27" s="756">
        <f>'P1 CF'!C29-'P1 Feeding'!D26</f>
        <v>9.7692307692307701</v>
      </c>
      <c r="E27" s="756">
        <f>'P1 CF'!D29-'P1 Feeding'!E26</f>
        <v>9.5</v>
      </c>
      <c r="F27" s="756">
        <f>'P1 CF'!E29-'P1 Feeding'!F26</f>
        <v>9.5</v>
      </c>
      <c r="G27" s="756">
        <f>'P1 CF'!F29-'P1 Feeding'!G26</f>
        <v>9.5</v>
      </c>
      <c r="H27" s="756">
        <f>'P1 CF'!G29-'P1 Feeding'!H26</f>
        <v>9.5</v>
      </c>
      <c r="I27" s="756">
        <f>'P1 CF'!H29-'P1 Feeding'!I26</f>
        <v>9.5</v>
      </c>
      <c r="J27" s="756">
        <f>'P1 CF'!I29-'P1 Feeding'!J26</f>
        <v>9.5</v>
      </c>
      <c r="K27" s="756">
        <f>'P1 CF'!J29-'P1 Feeding'!K26</f>
        <v>9.5</v>
      </c>
      <c r="L27" s="756">
        <f>'P1 CF'!K29-'P1 Feeding'!L26</f>
        <v>9.5</v>
      </c>
      <c r="M27" s="756">
        <f>'P1 CF'!L29-'P1 Feeding'!M26</f>
        <v>9.5</v>
      </c>
      <c r="N27" s="756">
        <f>'P1 CF'!M29-'P1 Feeding'!N26</f>
        <v>9.5</v>
      </c>
      <c r="O27" s="756">
        <f>'P1 CF'!N29-'P1 Feeding'!O26</f>
        <v>9.5</v>
      </c>
    </row>
    <row r="28" spans="1:35" x14ac:dyDescent="0.2">
      <c r="A28" s="2" t="str">
        <f>'P1 Bal'!C74</f>
        <v>Dry Cows</v>
      </c>
      <c r="D28" s="370">
        <v>1</v>
      </c>
      <c r="E28" s="370">
        <f>D28</f>
        <v>1</v>
      </c>
      <c r="F28" s="370">
        <f t="shared" ref="F28:O29" si="38">E28</f>
        <v>1</v>
      </c>
      <c r="G28" s="370">
        <f t="shared" si="38"/>
        <v>1</v>
      </c>
      <c r="H28" s="370">
        <f t="shared" si="38"/>
        <v>1</v>
      </c>
      <c r="I28" s="370">
        <f t="shared" si="38"/>
        <v>1</v>
      </c>
      <c r="J28" s="370">
        <f t="shared" si="38"/>
        <v>1</v>
      </c>
      <c r="K28" s="370">
        <f t="shared" si="38"/>
        <v>1</v>
      </c>
      <c r="L28" s="370">
        <f t="shared" si="38"/>
        <v>1</v>
      </c>
      <c r="M28" s="370">
        <f t="shared" si="38"/>
        <v>1</v>
      </c>
      <c r="N28" s="370">
        <f t="shared" si="38"/>
        <v>1</v>
      </c>
      <c r="O28" s="370">
        <f t="shared" si="38"/>
        <v>1</v>
      </c>
    </row>
    <row r="29" spans="1:35" x14ac:dyDescent="0.2">
      <c r="A29" s="2" t="str">
        <f>'P1 Bal'!C75</f>
        <v>Heifers in Calf</v>
      </c>
      <c r="D29" s="370">
        <v>0</v>
      </c>
      <c r="E29" s="370">
        <v>1.5</v>
      </c>
      <c r="F29" s="370">
        <f>E29</f>
        <v>1.5</v>
      </c>
      <c r="G29" s="370">
        <f t="shared" si="38"/>
        <v>1.5</v>
      </c>
      <c r="H29" s="370">
        <f t="shared" si="38"/>
        <v>1.5</v>
      </c>
      <c r="I29" s="370">
        <v>0</v>
      </c>
      <c r="J29" s="370">
        <f t="shared" si="38"/>
        <v>0</v>
      </c>
      <c r="K29" s="370">
        <v>0</v>
      </c>
      <c r="L29" s="370">
        <f t="shared" si="38"/>
        <v>0</v>
      </c>
      <c r="M29" s="370">
        <f t="shared" si="38"/>
        <v>0</v>
      </c>
      <c r="N29" s="370">
        <f t="shared" si="38"/>
        <v>0</v>
      </c>
      <c r="O29" s="370">
        <f t="shared" si="38"/>
        <v>0</v>
      </c>
    </row>
    <row r="30" spans="1:35" x14ac:dyDescent="0.2">
      <c r="A30" s="2" t="str">
        <f>'P1 Bal'!C76</f>
        <v>Post-Weaned Heifers</v>
      </c>
      <c r="D30" s="370">
        <v>0</v>
      </c>
      <c r="E30" s="370">
        <f>D30</f>
        <v>0</v>
      </c>
      <c r="F30" s="370">
        <v>1</v>
      </c>
      <c r="G30" s="370">
        <f t="shared" ref="G30:O30" si="39">F30</f>
        <v>1</v>
      </c>
      <c r="H30" s="370">
        <f t="shared" si="39"/>
        <v>1</v>
      </c>
      <c r="I30" s="370">
        <f t="shared" si="39"/>
        <v>1</v>
      </c>
      <c r="J30" s="370">
        <f t="shared" si="39"/>
        <v>1</v>
      </c>
      <c r="K30" s="370">
        <v>0</v>
      </c>
      <c r="L30" s="370">
        <f t="shared" si="39"/>
        <v>0</v>
      </c>
      <c r="M30" s="370">
        <f t="shared" si="39"/>
        <v>0</v>
      </c>
      <c r="N30" s="370">
        <f t="shared" si="39"/>
        <v>0</v>
      </c>
      <c r="O30" s="370">
        <f t="shared" si="39"/>
        <v>0</v>
      </c>
    </row>
    <row r="31" spans="1:35" x14ac:dyDescent="0.2">
      <c r="A31" s="2" t="str">
        <f>'P1 Bal'!C77</f>
        <v>Pre-Weaned Heifers</v>
      </c>
      <c r="D31" s="370">
        <v>2</v>
      </c>
      <c r="E31" s="370">
        <f>D31</f>
        <v>2</v>
      </c>
      <c r="F31" s="370">
        <f t="shared" ref="F31:O31" si="40">E31</f>
        <v>2</v>
      </c>
      <c r="G31" s="370">
        <f t="shared" si="40"/>
        <v>2</v>
      </c>
      <c r="H31" s="370">
        <f t="shared" si="40"/>
        <v>2</v>
      </c>
      <c r="I31" s="370">
        <f t="shared" si="40"/>
        <v>2</v>
      </c>
      <c r="J31" s="370">
        <f t="shared" si="40"/>
        <v>2</v>
      </c>
      <c r="K31" s="370">
        <f t="shared" si="40"/>
        <v>2</v>
      </c>
      <c r="L31" s="370">
        <f t="shared" si="40"/>
        <v>2</v>
      </c>
      <c r="M31" s="370">
        <f t="shared" si="40"/>
        <v>2</v>
      </c>
      <c r="N31" s="370">
        <f t="shared" si="40"/>
        <v>2</v>
      </c>
      <c r="O31" s="370">
        <f t="shared" si="40"/>
        <v>2</v>
      </c>
    </row>
    <row r="32" spans="1:35" x14ac:dyDescent="0.2">
      <c r="A32" s="2" t="str">
        <f>'P1 Bal'!C78</f>
        <v>Bull calves</v>
      </c>
    </row>
    <row r="33" spans="1:1" x14ac:dyDescent="0.2">
      <c r="A33" s="2" t="str">
        <f>'P1 Bal'!C79</f>
        <v>Bulls (12-24 mth)</v>
      </c>
    </row>
    <row r="34" spans="1:1" x14ac:dyDescent="0.2">
      <c r="A34" s="2" t="str">
        <f>'P1 Bal'!C80</f>
        <v>Bulls (Mature)</v>
      </c>
    </row>
  </sheetData>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01"/>
  <sheetViews>
    <sheetView showGridLines="0" workbookViewId="0">
      <selection activeCell="C9" sqref="C9"/>
    </sheetView>
  </sheetViews>
  <sheetFormatPr defaultColWidth="9.33203125" defaultRowHeight="12.75" x14ac:dyDescent="0.2"/>
  <cols>
    <col min="1" max="1" width="16.33203125" style="2" customWidth="1"/>
    <col min="2" max="2" width="7" style="2" customWidth="1"/>
    <col min="3" max="3" width="27.33203125" style="2" customWidth="1"/>
    <col min="4" max="4" width="13.83203125" style="2" bestFit="1" customWidth="1"/>
    <col min="5" max="5" width="14.5" style="2" bestFit="1" customWidth="1"/>
    <col min="6" max="6" width="13" style="2" bestFit="1" customWidth="1"/>
    <col min="7" max="7" width="9.33203125" style="2"/>
    <col min="8" max="8" width="17.5" style="2" customWidth="1"/>
    <col min="9" max="9" width="19.5" style="2" customWidth="1"/>
    <col min="10" max="10" width="9.33203125" style="2"/>
    <col min="11" max="11" width="17.6640625" style="2" customWidth="1"/>
    <col min="12" max="12" width="15.83203125" style="2" customWidth="1"/>
    <col min="13" max="13" width="14" style="2" customWidth="1"/>
    <col min="14" max="14" width="17.6640625" style="2" customWidth="1"/>
    <col min="15" max="15" width="15.5" style="2" customWidth="1"/>
    <col min="16" max="16" width="15.1640625" style="2" customWidth="1"/>
    <col min="17" max="17" width="10.33203125" style="2" customWidth="1"/>
    <col min="18" max="18" width="14" style="2" customWidth="1"/>
    <col min="19" max="19" width="15.33203125" style="2" customWidth="1"/>
    <col min="20" max="20" width="13.33203125" style="2" customWidth="1"/>
    <col min="21" max="16384" width="9.33203125" style="2"/>
  </cols>
  <sheetData>
    <row r="1" spans="1:20" ht="18.75" customHeight="1" x14ac:dyDescent="0.2">
      <c r="A1" s="836" t="s">
        <v>285</v>
      </c>
      <c r="B1" s="836"/>
      <c r="C1" s="836"/>
      <c r="D1" s="836"/>
      <c r="E1" s="836"/>
      <c r="F1" s="836"/>
      <c r="G1" s="836"/>
      <c r="H1" s="836"/>
      <c r="I1" s="836"/>
      <c r="J1" s="836"/>
      <c r="K1" s="836"/>
      <c r="L1" s="836"/>
      <c r="M1" s="836"/>
      <c r="N1" s="836"/>
      <c r="O1" s="836"/>
      <c r="P1" s="836"/>
      <c r="Q1" s="836"/>
      <c r="R1" s="836"/>
      <c r="S1" s="836"/>
      <c r="T1" s="836"/>
    </row>
    <row r="2" spans="1:20" x14ac:dyDescent="0.2">
      <c r="A2" s="836"/>
      <c r="B2" s="836"/>
      <c r="C2" s="836"/>
      <c r="D2" s="836"/>
      <c r="E2" s="836"/>
      <c r="F2" s="836"/>
      <c r="G2" s="836"/>
      <c r="H2" s="836"/>
      <c r="I2" s="836"/>
      <c r="J2" s="836"/>
      <c r="K2" s="836"/>
      <c r="L2" s="836"/>
      <c r="M2" s="836"/>
      <c r="N2" s="836"/>
      <c r="O2" s="836"/>
      <c r="P2" s="836"/>
      <c r="Q2" s="836"/>
      <c r="R2" s="836"/>
      <c r="S2" s="836"/>
      <c r="T2" s="836"/>
    </row>
    <row r="3" spans="1:20" ht="15.75" x14ac:dyDescent="0.25">
      <c r="A3" s="284" t="s">
        <v>175</v>
      </c>
      <c r="F3" s="284"/>
    </row>
    <row r="4" spans="1:20" ht="13.5" thickBot="1" x14ac:dyDescent="0.25">
      <c r="Q4" s="64"/>
      <c r="R4" s="64"/>
      <c r="S4" s="64"/>
    </row>
    <row r="5" spans="1:20" x14ac:dyDescent="0.2">
      <c r="A5" s="406" t="s">
        <v>202</v>
      </c>
      <c r="B5" s="403"/>
      <c r="C5" s="838" t="s">
        <v>61</v>
      </c>
      <c r="D5" s="839"/>
      <c r="E5" s="839"/>
      <c r="F5" s="839"/>
      <c r="G5" s="840"/>
      <c r="H5" s="407"/>
      <c r="I5" s="841" t="s">
        <v>62</v>
      </c>
      <c r="J5" s="842"/>
      <c r="K5" s="842"/>
      <c r="L5" s="842"/>
      <c r="M5" s="842"/>
      <c r="N5" s="842"/>
      <c r="O5" s="842"/>
      <c r="P5" s="843"/>
      <c r="Q5" s="841" t="s">
        <v>201</v>
      </c>
      <c r="R5" s="842"/>
      <c r="S5" s="842"/>
      <c r="T5" s="843"/>
    </row>
    <row r="6" spans="1:20" ht="38.25" x14ac:dyDescent="0.2">
      <c r="A6" s="404" t="s">
        <v>45</v>
      </c>
      <c r="B6" s="405" t="s">
        <v>48</v>
      </c>
      <c r="C6" s="404" t="s">
        <v>46</v>
      </c>
      <c r="D6" s="354" t="s">
        <v>49</v>
      </c>
      <c r="E6" s="354" t="s">
        <v>50</v>
      </c>
      <c r="F6" s="354" t="s">
        <v>51</v>
      </c>
      <c r="G6" s="355" t="s">
        <v>52</v>
      </c>
      <c r="H6" s="408" t="s">
        <v>197</v>
      </c>
      <c r="I6" s="409" t="s">
        <v>53</v>
      </c>
      <c r="J6" s="354" t="s">
        <v>58</v>
      </c>
      <c r="K6" s="354" t="s">
        <v>54</v>
      </c>
      <c r="L6" s="354" t="s">
        <v>55</v>
      </c>
      <c r="M6" s="354" t="s">
        <v>56</v>
      </c>
      <c r="N6" s="354" t="s">
        <v>57</v>
      </c>
      <c r="O6" s="354" t="s">
        <v>198</v>
      </c>
      <c r="P6" s="408" t="s">
        <v>59</v>
      </c>
      <c r="Q6" s="410" t="s">
        <v>60</v>
      </c>
      <c r="R6" s="354" t="s">
        <v>199</v>
      </c>
      <c r="S6" s="354" t="s">
        <v>200</v>
      </c>
      <c r="T6" s="408" t="s">
        <v>281</v>
      </c>
    </row>
    <row r="7" spans="1:20" x14ac:dyDescent="0.2">
      <c r="A7" s="421" t="s">
        <v>63</v>
      </c>
      <c r="B7" s="422">
        <v>18</v>
      </c>
      <c r="C7" s="422" t="s">
        <v>292</v>
      </c>
      <c r="D7" s="423">
        <v>2300</v>
      </c>
      <c r="E7" s="423">
        <v>1100</v>
      </c>
      <c r="F7" s="424">
        <f>D7-E7</f>
        <v>1200</v>
      </c>
      <c r="G7" s="424">
        <f>F7*B7</f>
        <v>21600</v>
      </c>
      <c r="H7" s="425">
        <v>40</v>
      </c>
      <c r="I7" s="426" t="s">
        <v>64</v>
      </c>
      <c r="J7" s="423">
        <v>330</v>
      </c>
      <c r="K7" s="443">
        <v>1.2</v>
      </c>
      <c r="L7" s="443">
        <v>0</v>
      </c>
      <c r="M7" s="443">
        <v>1</v>
      </c>
      <c r="N7" s="443">
        <v>0.2</v>
      </c>
      <c r="O7" s="427">
        <f>SUM(K7:N7)</f>
        <v>2.4000000000000004</v>
      </c>
      <c r="P7" s="428">
        <f>J7*O7</f>
        <v>792.00000000000011</v>
      </c>
      <c r="Q7" s="444">
        <f>G7/P7</f>
        <v>27.27272727272727</v>
      </c>
      <c r="R7" s="429">
        <f>(Q7*H7)</f>
        <v>1090.9090909090908</v>
      </c>
      <c r="S7" s="444">
        <f>R7/P7</f>
        <v>1.3774104683195589</v>
      </c>
      <c r="T7" s="475">
        <f>Q7+S7</f>
        <v>28.65013774104683</v>
      </c>
    </row>
    <row r="8" spans="1:20" x14ac:dyDescent="0.2">
      <c r="A8" s="479"/>
      <c r="B8" s="480"/>
      <c r="C8" s="422"/>
      <c r="D8" s="481"/>
      <c r="E8" s="481"/>
      <c r="F8" s="411">
        <f t="shared" ref="F8:F71" si="0">D8-E8</f>
        <v>0</v>
      </c>
      <c r="G8" s="411">
        <f t="shared" ref="G8:G71" si="1">F8*B8</f>
        <v>0</v>
      </c>
      <c r="H8" s="485"/>
      <c r="I8" s="486"/>
      <c r="J8" s="481"/>
      <c r="K8" s="487"/>
      <c r="L8" s="487"/>
      <c r="M8" s="487"/>
      <c r="N8" s="487"/>
      <c r="O8" s="415">
        <f t="shared" ref="O8:O12" si="2">SUM(K8:N8)</f>
        <v>0</v>
      </c>
      <c r="P8" s="412">
        <f t="shared" ref="P8:P12" si="3">J8*O8</f>
        <v>0</v>
      </c>
      <c r="Q8" s="473" t="e">
        <f t="shared" ref="Q8:Q12" si="4">G8/P8</f>
        <v>#DIV/0!</v>
      </c>
      <c r="R8" s="413" t="e">
        <f t="shared" ref="R8:R12" si="5">(Q8*H8)</f>
        <v>#DIV/0!</v>
      </c>
      <c r="S8" s="473" t="e">
        <f t="shared" ref="S8:S12" si="6">R8/P8</f>
        <v>#DIV/0!</v>
      </c>
      <c r="T8" s="414" t="e">
        <f t="shared" ref="T8:T12" si="7">Q8+S8</f>
        <v>#DIV/0!</v>
      </c>
    </row>
    <row r="9" spans="1:20" x14ac:dyDescent="0.2">
      <c r="A9" s="479"/>
      <c r="B9" s="480"/>
      <c r="C9" s="422"/>
      <c r="D9" s="481"/>
      <c r="E9" s="481"/>
      <c r="F9" s="411">
        <f t="shared" si="0"/>
        <v>0</v>
      </c>
      <c r="G9" s="411">
        <f t="shared" si="1"/>
        <v>0</v>
      </c>
      <c r="H9" s="485"/>
      <c r="I9" s="486"/>
      <c r="J9" s="481"/>
      <c r="K9" s="487"/>
      <c r="L9" s="487"/>
      <c r="M9" s="487"/>
      <c r="N9" s="487"/>
      <c r="O9" s="415">
        <f t="shared" si="2"/>
        <v>0</v>
      </c>
      <c r="P9" s="412">
        <f t="shared" si="3"/>
        <v>0</v>
      </c>
      <c r="Q9" s="473" t="e">
        <f t="shared" si="4"/>
        <v>#DIV/0!</v>
      </c>
      <c r="R9" s="413" t="e">
        <f t="shared" si="5"/>
        <v>#DIV/0!</v>
      </c>
      <c r="S9" s="473" t="e">
        <f t="shared" si="6"/>
        <v>#DIV/0!</v>
      </c>
      <c r="T9" s="414" t="e">
        <f t="shared" si="7"/>
        <v>#DIV/0!</v>
      </c>
    </row>
    <row r="10" spans="1:20" x14ac:dyDescent="0.2">
      <c r="A10" s="479"/>
      <c r="B10" s="480"/>
      <c r="C10" s="422"/>
      <c r="D10" s="481"/>
      <c r="E10" s="481"/>
      <c r="F10" s="411">
        <f t="shared" si="0"/>
        <v>0</v>
      </c>
      <c r="G10" s="411">
        <f t="shared" si="1"/>
        <v>0</v>
      </c>
      <c r="H10" s="485"/>
      <c r="I10" s="486"/>
      <c r="J10" s="481"/>
      <c r="K10" s="487"/>
      <c r="L10" s="487"/>
      <c r="M10" s="487"/>
      <c r="N10" s="487"/>
      <c r="O10" s="415">
        <f t="shared" si="2"/>
        <v>0</v>
      </c>
      <c r="P10" s="412">
        <f t="shared" si="3"/>
        <v>0</v>
      </c>
      <c r="Q10" s="473" t="e">
        <f t="shared" si="4"/>
        <v>#DIV/0!</v>
      </c>
      <c r="R10" s="413" t="e">
        <f t="shared" si="5"/>
        <v>#DIV/0!</v>
      </c>
      <c r="S10" s="473" t="e">
        <f t="shared" si="6"/>
        <v>#DIV/0!</v>
      </c>
      <c r="T10" s="414" t="e">
        <f t="shared" si="7"/>
        <v>#DIV/0!</v>
      </c>
    </row>
    <row r="11" spans="1:20" x14ac:dyDescent="0.2">
      <c r="A11" s="479"/>
      <c r="B11" s="480"/>
      <c r="C11" s="422"/>
      <c r="D11" s="481"/>
      <c r="E11" s="481"/>
      <c r="F11" s="411">
        <f t="shared" si="0"/>
        <v>0</v>
      </c>
      <c r="G11" s="411">
        <f t="shared" si="1"/>
        <v>0</v>
      </c>
      <c r="H11" s="485"/>
      <c r="I11" s="486"/>
      <c r="J11" s="481"/>
      <c r="K11" s="487"/>
      <c r="L11" s="487"/>
      <c r="M11" s="487"/>
      <c r="N11" s="487"/>
      <c r="O11" s="415">
        <f t="shared" si="2"/>
        <v>0</v>
      </c>
      <c r="P11" s="412">
        <f t="shared" si="3"/>
        <v>0</v>
      </c>
      <c r="Q11" s="473" t="e">
        <f t="shared" si="4"/>
        <v>#DIV/0!</v>
      </c>
      <c r="R11" s="413" t="e">
        <f t="shared" si="5"/>
        <v>#DIV/0!</v>
      </c>
      <c r="S11" s="473" t="e">
        <f t="shared" si="6"/>
        <v>#DIV/0!</v>
      </c>
      <c r="T11" s="414" t="e">
        <f t="shared" si="7"/>
        <v>#DIV/0!</v>
      </c>
    </row>
    <row r="12" spans="1:20" x14ac:dyDescent="0.2">
      <c r="A12" s="479"/>
      <c r="B12" s="480"/>
      <c r="C12" s="422"/>
      <c r="D12" s="481"/>
      <c r="E12" s="481"/>
      <c r="F12" s="411">
        <f t="shared" si="0"/>
        <v>0</v>
      </c>
      <c r="G12" s="411">
        <f t="shared" si="1"/>
        <v>0</v>
      </c>
      <c r="H12" s="485"/>
      <c r="I12" s="486"/>
      <c r="J12" s="481"/>
      <c r="K12" s="487"/>
      <c r="L12" s="487"/>
      <c r="M12" s="487"/>
      <c r="N12" s="487"/>
      <c r="O12" s="415">
        <f t="shared" si="2"/>
        <v>0</v>
      </c>
      <c r="P12" s="412">
        <f t="shared" si="3"/>
        <v>0</v>
      </c>
      <c r="Q12" s="473" t="e">
        <f t="shared" si="4"/>
        <v>#DIV/0!</v>
      </c>
      <c r="R12" s="413" t="e">
        <f t="shared" si="5"/>
        <v>#DIV/0!</v>
      </c>
      <c r="S12" s="473" t="e">
        <f t="shared" si="6"/>
        <v>#DIV/0!</v>
      </c>
      <c r="T12" s="414" t="e">
        <f t="shared" si="7"/>
        <v>#DIV/0!</v>
      </c>
    </row>
    <row r="13" spans="1:20" x14ac:dyDescent="0.2">
      <c r="A13" s="479"/>
      <c r="B13" s="480"/>
      <c r="C13" s="422"/>
      <c r="D13" s="481"/>
      <c r="E13" s="480"/>
      <c r="F13" s="411">
        <f t="shared" si="0"/>
        <v>0</v>
      </c>
      <c r="G13" s="411">
        <f t="shared" si="1"/>
        <v>0</v>
      </c>
      <c r="H13" s="480"/>
      <c r="I13" s="486"/>
      <c r="J13" s="481"/>
      <c r="K13" s="487"/>
      <c r="L13" s="487"/>
      <c r="M13" s="487"/>
      <c r="N13" s="487"/>
      <c r="O13" s="415">
        <f t="shared" ref="O13:O76" si="8">SUM(K13:N13)</f>
        <v>0</v>
      </c>
      <c r="P13" s="412">
        <f t="shared" ref="P13:P76" si="9">J13*O13</f>
        <v>0</v>
      </c>
      <c r="Q13" s="473" t="e">
        <f t="shared" ref="Q13:Q76" si="10">G13/P13</f>
        <v>#DIV/0!</v>
      </c>
      <c r="R13" s="413" t="e">
        <f t="shared" ref="R13:R76" si="11">(Q13*H13)</f>
        <v>#DIV/0!</v>
      </c>
      <c r="S13" s="473" t="e">
        <f t="shared" ref="S13:S76" si="12">R13/P13</f>
        <v>#DIV/0!</v>
      </c>
      <c r="T13" s="414" t="e">
        <f t="shared" ref="T13:T76" si="13">Q13+S13</f>
        <v>#DIV/0!</v>
      </c>
    </row>
    <row r="14" spans="1:20" x14ac:dyDescent="0.2">
      <c r="A14" s="479"/>
      <c r="B14" s="480"/>
      <c r="C14" s="422"/>
      <c r="D14" s="481"/>
      <c r="E14" s="480"/>
      <c r="F14" s="411">
        <f t="shared" si="0"/>
        <v>0</v>
      </c>
      <c r="G14" s="411">
        <f t="shared" si="1"/>
        <v>0</v>
      </c>
      <c r="H14" s="480"/>
      <c r="I14" s="486"/>
      <c r="J14" s="481"/>
      <c r="K14" s="487"/>
      <c r="L14" s="487"/>
      <c r="M14" s="487"/>
      <c r="N14" s="487"/>
      <c r="O14" s="415">
        <f t="shared" si="8"/>
        <v>0</v>
      </c>
      <c r="P14" s="412">
        <f t="shared" si="9"/>
        <v>0</v>
      </c>
      <c r="Q14" s="473" t="e">
        <f t="shared" si="10"/>
        <v>#DIV/0!</v>
      </c>
      <c r="R14" s="413" t="e">
        <f t="shared" si="11"/>
        <v>#DIV/0!</v>
      </c>
      <c r="S14" s="473" t="e">
        <f t="shared" si="12"/>
        <v>#DIV/0!</v>
      </c>
      <c r="T14" s="414" t="e">
        <f t="shared" si="13"/>
        <v>#DIV/0!</v>
      </c>
    </row>
    <row r="15" spans="1:20" x14ac:dyDescent="0.2">
      <c r="A15" s="479"/>
      <c r="B15" s="480"/>
      <c r="C15" s="422"/>
      <c r="D15" s="481"/>
      <c r="E15" s="480"/>
      <c r="F15" s="411">
        <f t="shared" si="0"/>
        <v>0</v>
      </c>
      <c r="G15" s="411">
        <f t="shared" si="1"/>
        <v>0</v>
      </c>
      <c r="H15" s="480"/>
      <c r="I15" s="486"/>
      <c r="J15" s="481"/>
      <c r="K15" s="487"/>
      <c r="L15" s="487"/>
      <c r="M15" s="487"/>
      <c r="N15" s="487"/>
      <c r="O15" s="415">
        <f t="shared" si="8"/>
        <v>0</v>
      </c>
      <c r="P15" s="412">
        <f t="shared" si="9"/>
        <v>0</v>
      </c>
      <c r="Q15" s="473" t="e">
        <f t="shared" si="10"/>
        <v>#DIV/0!</v>
      </c>
      <c r="R15" s="413" t="e">
        <f t="shared" si="11"/>
        <v>#DIV/0!</v>
      </c>
      <c r="S15" s="473" t="e">
        <f t="shared" si="12"/>
        <v>#DIV/0!</v>
      </c>
      <c r="T15" s="414" t="e">
        <f t="shared" si="13"/>
        <v>#DIV/0!</v>
      </c>
    </row>
    <row r="16" spans="1:20" x14ac:dyDescent="0.2">
      <c r="A16" s="479"/>
      <c r="B16" s="480"/>
      <c r="C16" s="422"/>
      <c r="D16" s="481"/>
      <c r="E16" s="480"/>
      <c r="F16" s="411">
        <f t="shared" si="0"/>
        <v>0</v>
      </c>
      <c r="G16" s="411">
        <f t="shared" si="1"/>
        <v>0</v>
      </c>
      <c r="H16" s="480"/>
      <c r="I16" s="486"/>
      <c r="J16" s="481"/>
      <c r="K16" s="487"/>
      <c r="L16" s="487"/>
      <c r="M16" s="487"/>
      <c r="N16" s="487"/>
      <c r="O16" s="415">
        <f t="shared" si="8"/>
        <v>0</v>
      </c>
      <c r="P16" s="412">
        <f t="shared" si="9"/>
        <v>0</v>
      </c>
      <c r="Q16" s="473" t="e">
        <f t="shared" si="10"/>
        <v>#DIV/0!</v>
      </c>
      <c r="R16" s="413" t="e">
        <f t="shared" si="11"/>
        <v>#DIV/0!</v>
      </c>
      <c r="S16" s="473" t="e">
        <f t="shared" si="12"/>
        <v>#DIV/0!</v>
      </c>
      <c r="T16" s="414" t="e">
        <f t="shared" si="13"/>
        <v>#DIV/0!</v>
      </c>
    </row>
    <row r="17" spans="1:20" x14ac:dyDescent="0.2">
      <c r="A17" s="479"/>
      <c r="B17" s="480"/>
      <c r="C17" s="422"/>
      <c r="D17" s="481"/>
      <c r="E17" s="480"/>
      <c r="F17" s="411">
        <f t="shared" si="0"/>
        <v>0</v>
      </c>
      <c r="G17" s="411">
        <f t="shared" si="1"/>
        <v>0</v>
      </c>
      <c r="H17" s="480"/>
      <c r="I17" s="486"/>
      <c r="J17" s="481"/>
      <c r="K17" s="487"/>
      <c r="L17" s="487"/>
      <c r="M17" s="487"/>
      <c r="N17" s="487"/>
      <c r="O17" s="415">
        <f t="shared" si="8"/>
        <v>0</v>
      </c>
      <c r="P17" s="412">
        <f t="shared" si="9"/>
        <v>0</v>
      </c>
      <c r="Q17" s="473" t="e">
        <f t="shared" si="10"/>
        <v>#DIV/0!</v>
      </c>
      <c r="R17" s="413" t="e">
        <f t="shared" si="11"/>
        <v>#DIV/0!</v>
      </c>
      <c r="S17" s="473" t="e">
        <f t="shared" si="12"/>
        <v>#DIV/0!</v>
      </c>
      <c r="T17" s="414" t="e">
        <f t="shared" si="13"/>
        <v>#DIV/0!</v>
      </c>
    </row>
    <row r="18" spans="1:20" x14ac:dyDescent="0.2">
      <c r="A18" s="479"/>
      <c r="B18" s="480"/>
      <c r="C18" s="422"/>
      <c r="D18" s="481"/>
      <c r="E18" s="480"/>
      <c r="F18" s="411">
        <f t="shared" si="0"/>
        <v>0</v>
      </c>
      <c r="G18" s="411">
        <f t="shared" si="1"/>
        <v>0</v>
      </c>
      <c r="H18" s="480"/>
      <c r="I18" s="486"/>
      <c r="J18" s="481"/>
      <c r="K18" s="487"/>
      <c r="L18" s="487"/>
      <c r="M18" s="487"/>
      <c r="N18" s="487"/>
      <c r="O18" s="415">
        <f t="shared" si="8"/>
        <v>0</v>
      </c>
      <c r="P18" s="412">
        <f t="shared" si="9"/>
        <v>0</v>
      </c>
      <c r="Q18" s="473" t="e">
        <f t="shared" si="10"/>
        <v>#DIV/0!</v>
      </c>
      <c r="R18" s="413" t="e">
        <f t="shared" si="11"/>
        <v>#DIV/0!</v>
      </c>
      <c r="S18" s="473" t="e">
        <f t="shared" si="12"/>
        <v>#DIV/0!</v>
      </c>
      <c r="T18" s="414" t="e">
        <f t="shared" si="13"/>
        <v>#DIV/0!</v>
      </c>
    </row>
    <row r="19" spans="1:20" x14ac:dyDescent="0.2">
      <c r="A19" s="479"/>
      <c r="B19" s="480"/>
      <c r="C19" s="422"/>
      <c r="D19" s="481"/>
      <c r="E19" s="480"/>
      <c r="F19" s="411">
        <f t="shared" si="0"/>
        <v>0</v>
      </c>
      <c r="G19" s="411">
        <f t="shared" si="1"/>
        <v>0</v>
      </c>
      <c r="H19" s="480"/>
      <c r="I19" s="486"/>
      <c r="J19" s="481"/>
      <c r="K19" s="487"/>
      <c r="L19" s="487"/>
      <c r="M19" s="487"/>
      <c r="N19" s="487"/>
      <c r="O19" s="415">
        <f t="shared" si="8"/>
        <v>0</v>
      </c>
      <c r="P19" s="412">
        <f t="shared" si="9"/>
        <v>0</v>
      </c>
      <c r="Q19" s="473" t="e">
        <f t="shared" si="10"/>
        <v>#DIV/0!</v>
      </c>
      <c r="R19" s="413" t="e">
        <f t="shared" si="11"/>
        <v>#DIV/0!</v>
      </c>
      <c r="S19" s="473" t="e">
        <f t="shared" si="12"/>
        <v>#DIV/0!</v>
      </c>
      <c r="T19" s="414" t="e">
        <f t="shared" si="13"/>
        <v>#DIV/0!</v>
      </c>
    </row>
    <row r="20" spans="1:20" x14ac:dyDescent="0.2">
      <c r="A20" s="479"/>
      <c r="B20" s="480"/>
      <c r="C20" s="422"/>
      <c r="D20" s="481"/>
      <c r="E20" s="480"/>
      <c r="F20" s="411">
        <f t="shared" si="0"/>
        <v>0</v>
      </c>
      <c r="G20" s="411">
        <f t="shared" si="1"/>
        <v>0</v>
      </c>
      <c r="H20" s="480"/>
      <c r="I20" s="486"/>
      <c r="J20" s="481"/>
      <c r="K20" s="487"/>
      <c r="L20" s="487"/>
      <c r="M20" s="487"/>
      <c r="N20" s="487"/>
      <c r="O20" s="415">
        <f t="shared" si="8"/>
        <v>0</v>
      </c>
      <c r="P20" s="412">
        <f t="shared" si="9"/>
        <v>0</v>
      </c>
      <c r="Q20" s="473" t="e">
        <f t="shared" si="10"/>
        <v>#DIV/0!</v>
      </c>
      <c r="R20" s="413" t="e">
        <f t="shared" si="11"/>
        <v>#DIV/0!</v>
      </c>
      <c r="S20" s="473" t="e">
        <f t="shared" si="12"/>
        <v>#DIV/0!</v>
      </c>
      <c r="T20" s="414" t="e">
        <f t="shared" si="13"/>
        <v>#DIV/0!</v>
      </c>
    </row>
    <row r="21" spans="1:20" x14ac:dyDescent="0.2">
      <c r="A21" s="479"/>
      <c r="B21" s="480"/>
      <c r="C21" s="422"/>
      <c r="D21" s="481"/>
      <c r="E21" s="480"/>
      <c r="F21" s="411">
        <f t="shared" si="0"/>
        <v>0</v>
      </c>
      <c r="G21" s="411">
        <f t="shared" si="1"/>
        <v>0</v>
      </c>
      <c r="H21" s="480"/>
      <c r="I21" s="486"/>
      <c r="J21" s="481"/>
      <c r="K21" s="487"/>
      <c r="L21" s="487"/>
      <c r="M21" s="487"/>
      <c r="N21" s="487"/>
      <c r="O21" s="415">
        <f t="shared" si="8"/>
        <v>0</v>
      </c>
      <c r="P21" s="412">
        <f t="shared" si="9"/>
        <v>0</v>
      </c>
      <c r="Q21" s="473" t="e">
        <f t="shared" si="10"/>
        <v>#DIV/0!</v>
      </c>
      <c r="R21" s="413" t="e">
        <f t="shared" si="11"/>
        <v>#DIV/0!</v>
      </c>
      <c r="S21" s="473" t="e">
        <f t="shared" si="12"/>
        <v>#DIV/0!</v>
      </c>
      <c r="T21" s="414" t="e">
        <f t="shared" si="13"/>
        <v>#DIV/0!</v>
      </c>
    </row>
    <row r="22" spans="1:20" x14ac:dyDescent="0.2">
      <c r="A22" s="479"/>
      <c r="B22" s="480"/>
      <c r="C22" s="422"/>
      <c r="D22" s="481"/>
      <c r="E22" s="480"/>
      <c r="F22" s="411">
        <f t="shared" si="0"/>
        <v>0</v>
      </c>
      <c r="G22" s="411">
        <f t="shared" si="1"/>
        <v>0</v>
      </c>
      <c r="H22" s="480"/>
      <c r="I22" s="486"/>
      <c r="J22" s="481"/>
      <c r="K22" s="487"/>
      <c r="L22" s="487"/>
      <c r="M22" s="487"/>
      <c r="N22" s="487"/>
      <c r="O22" s="415">
        <f t="shared" si="8"/>
        <v>0</v>
      </c>
      <c r="P22" s="412">
        <f t="shared" si="9"/>
        <v>0</v>
      </c>
      <c r="Q22" s="473" t="e">
        <f t="shared" si="10"/>
        <v>#DIV/0!</v>
      </c>
      <c r="R22" s="413" t="e">
        <f t="shared" si="11"/>
        <v>#DIV/0!</v>
      </c>
      <c r="S22" s="473" t="e">
        <f t="shared" si="12"/>
        <v>#DIV/0!</v>
      </c>
      <c r="T22" s="414" t="e">
        <f t="shared" si="13"/>
        <v>#DIV/0!</v>
      </c>
    </row>
    <row r="23" spans="1:20" x14ac:dyDescent="0.2">
      <c r="A23" s="479"/>
      <c r="B23" s="480"/>
      <c r="C23" s="422"/>
      <c r="D23" s="481"/>
      <c r="E23" s="480"/>
      <c r="F23" s="411">
        <f t="shared" si="0"/>
        <v>0</v>
      </c>
      <c r="G23" s="411">
        <f t="shared" si="1"/>
        <v>0</v>
      </c>
      <c r="H23" s="480"/>
      <c r="I23" s="486"/>
      <c r="J23" s="481"/>
      <c r="K23" s="487"/>
      <c r="L23" s="487"/>
      <c r="M23" s="487"/>
      <c r="N23" s="487"/>
      <c r="O23" s="415">
        <f t="shared" si="8"/>
        <v>0</v>
      </c>
      <c r="P23" s="412">
        <f t="shared" si="9"/>
        <v>0</v>
      </c>
      <c r="Q23" s="473" t="e">
        <f t="shared" si="10"/>
        <v>#DIV/0!</v>
      </c>
      <c r="R23" s="413" t="e">
        <f t="shared" si="11"/>
        <v>#DIV/0!</v>
      </c>
      <c r="S23" s="473" t="e">
        <f t="shared" si="12"/>
        <v>#DIV/0!</v>
      </c>
      <c r="T23" s="414" t="e">
        <f t="shared" si="13"/>
        <v>#DIV/0!</v>
      </c>
    </row>
    <row r="24" spans="1:20" x14ac:dyDescent="0.2">
      <c r="A24" s="479"/>
      <c r="B24" s="480"/>
      <c r="C24" s="422"/>
      <c r="D24" s="481"/>
      <c r="E24" s="480"/>
      <c r="F24" s="411">
        <f t="shared" si="0"/>
        <v>0</v>
      </c>
      <c r="G24" s="411">
        <f t="shared" si="1"/>
        <v>0</v>
      </c>
      <c r="H24" s="480"/>
      <c r="I24" s="486"/>
      <c r="J24" s="481"/>
      <c r="K24" s="487"/>
      <c r="L24" s="487"/>
      <c r="M24" s="487"/>
      <c r="N24" s="487"/>
      <c r="O24" s="415">
        <f t="shared" si="8"/>
        <v>0</v>
      </c>
      <c r="P24" s="412">
        <f t="shared" si="9"/>
        <v>0</v>
      </c>
      <c r="Q24" s="473" t="e">
        <f t="shared" si="10"/>
        <v>#DIV/0!</v>
      </c>
      <c r="R24" s="413" t="e">
        <f t="shared" si="11"/>
        <v>#DIV/0!</v>
      </c>
      <c r="S24" s="473" t="e">
        <f t="shared" si="12"/>
        <v>#DIV/0!</v>
      </c>
      <c r="T24" s="414" t="e">
        <f t="shared" si="13"/>
        <v>#DIV/0!</v>
      </c>
    </row>
    <row r="25" spans="1:20" x14ac:dyDescent="0.2">
      <c r="A25" s="479"/>
      <c r="B25" s="480"/>
      <c r="C25" s="422"/>
      <c r="D25" s="481"/>
      <c r="E25" s="480"/>
      <c r="F25" s="411">
        <f t="shared" si="0"/>
        <v>0</v>
      </c>
      <c r="G25" s="411">
        <f t="shared" si="1"/>
        <v>0</v>
      </c>
      <c r="H25" s="480"/>
      <c r="I25" s="486"/>
      <c r="J25" s="481"/>
      <c r="K25" s="487"/>
      <c r="L25" s="487"/>
      <c r="M25" s="487"/>
      <c r="N25" s="487"/>
      <c r="O25" s="415">
        <f t="shared" si="8"/>
        <v>0</v>
      </c>
      <c r="P25" s="412">
        <f t="shared" si="9"/>
        <v>0</v>
      </c>
      <c r="Q25" s="473" t="e">
        <f t="shared" si="10"/>
        <v>#DIV/0!</v>
      </c>
      <c r="R25" s="413" t="e">
        <f t="shared" si="11"/>
        <v>#DIV/0!</v>
      </c>
      <c r="S25" s="473" t="e">
        <f t="shared" si="12"/>
        <v>#DIV/0!</v>
      </c>
      <c r="T25" s="414" t="e">
        <f t="shared" si="13"/>
        <v>#DIV/0!</v>
      </c>
    </row>
    <row r="26" spans="1:20" x14ac:dyDescent="0.2">
      <c r="A26" s="479"/>
      <c r="B26" s="480"/>
      <c r="C26" s="422"/>
      <c r="D26" s="481"/>
      <c r="E26" s="480"/>
      <c r="F26" s="411">
        <f t="shared" si="0"/>
        <v>0</v>
      </c>
      <c r="G26" s="411">
        <f t="shared" si="1"/>
        <v>0</v>
      </c>
      <c r="H26" s="480"/>
      <c r="I26" s="486"/>
      <c r="J26" s="481"/>
      <c r="K26" s="487"/>
      <c r="L26" s="487"/>
      <c r="M26" s="487"/>
      <c r="N26" s="487"/>
      <c r="O26" s="415">
        <f t="shared" si="8"/>
        <v>0</v>
      </c>
      <c r="P26" s="412">
        <f t="shared" si="9"/>
        <v>0</v>
      </c>
      <c r="Q26" s="473" t="e">
        <f t="shared" si="10"/>
        <v>#DIV/0!</v>
      </c>
      <c r="R26" s="413" t="e">
        <f t="shared" si="11"/>
        <v>#DIV/0!</v>
      </c>
      <c r="S26" s="473" t="e">
        <f t="shared" si="12"/>
        <v>#DIV/0!</v>
      </c>
      <c r="T26" s="414" t="e">
        <f t="shared" si="13"/>
        <v>#DIV/0!</v>
      </c>
    </row>
    <row r="27" spans="1:20" x14ac:dyDescent="0.2">
      <c r="A27" s="479"/>
      <c r="B27" s="480"/>
      <c r="C27" s="422"/>
      <c r="D27" s="481"/>
      <c r="E27" s="480"/>
      <c r="F27" s="411">
        <f t="shared" si="0"/>
        <v>0</v>
      </c>
      <c r="G27" s="411">
        <f t="shared" si="1"/>
        <v>0</v>
      </c>
      <c r="H27" s="480"/>
      <c r="I27" s="486"/>
      <c r="J27" s="481"/>
      <c r="K27" s="487"/>
      <c r="L27" s="487"/>
      <c r="M27" s="487"/>
      <c r="N27" s="487"/>
      <c r="O27" s="415">
        <f t="shared" si="8"/>
        <v>0</v>
      </c>
      <c r="P27" s="412">
        <f t="shared" si="9"/>
        <v>0</v>
      </c>
      <c r="Q27" s="473" t="e">
        <f t="shared" si="10"/>
        <v>#DIV/0!</v>
      </c>
      <c r="R27" s="413" t="e">
        <f t="shared" si="11"/>
        <v>#DIV/0!</v>
      </c>
      <c r="S27" s="473" t="e">
        <f t="shared" si="12"/>
        <v>#DIV/0!</v>
      </c>
      <c r="T27" s="414" t="e">
        <f t="shared" si="13"/>
        <v>#DIV/0!</v>
      </c>
    </row>
    <row r="28" spans="1:20" x14ac:dyDescent="0.2">
      <c r="A28" s="479"/>
      <c r="B28" s="480"/>
      <c r="C28" s="422"/>
      <c r="D28" s="481"/>
      <c r="E28" s="480"/>
      <c r="F28" s="411">
        <f t="shared" si="0"/>
        <v>0</v>
      </c>
      <c r="G28" s="411">
        <f t="shared" si="1"/>
        <v>0</v>
      </c>
      <c r="H28" s="480"/>
      <c r="I28" s="486"/>
      <c r="J28" s="481"/>
      <c r="K28" s="487"/>
      <c r="L28" s="487"/>
      <c r="M28" s="487"/>
      <c r="N28" s="487"/>
      <c r="O28" s="415">
        <f t="shared" si="8"/>
        <v>0</v>
      </c>
      <c r="P28" s="412">
        <f t="shared" si="9"/>
        <v>0</v>
      </c>
      <c r="Q28" s="473" t="e">
        <f t="shared" si="10"/>
        <v>#DIV/0!</v>
      </c>
      <c r="R28" s="413" t="e">
        <f t="shared" si="11"/>
        <v>#DIV/0!</v>
      </c>
      <c r="S28" s="473" t="e">
        <f t="shared" si="12"/>
        <v>#DIV/0!</v>
      </c>
      <c r="T28" s="414" t="e">
        <f t="shared" si="13"/>
        <v>#DIV/0!</v>
      </c>
    </row>
    <row r="29" spans="1:20" x14ac:dyDescent="0.2">
      <c r="A29" s="479"/>
      <c r="B29" s="480"/>
      <c r="C29" s="422"/>
      <c r="D29" s="481"/>
      <c r="E29" s="480"/>
      <c r="F29" s="411">
        <f t="shared" si="0"/>
        <v>0</v>
      </c>
      <c r="G29" s="411">
        <f t="shared" si="1"/>
        <v>0</v>
      </c>
      <c r="H29" s="480"/>
      <c r="I29" s="486"/>
      <c r="J29" s="481"/>
      <c r="K29" s="487"/>
      <c r="L29" s="487"/>
      <c r="M29" s="487"/>
      <c r="N29" s="487"/>
      <c r="O29" s="415">
        <f t="shared" si="8"/>
        <v>0</v>
      </c>
      <c r="P29" s="412">
        <f t="shared" si="9"/>
        <v>0</v>
      </c>
      <c r="Q29" s="473" t="e">
        <f t="shared" si="10"/>
        <v>#DIV/0!</v>
      </c>
      <c r="R29" s="413" t="e">
        <f t="shared" si="11"/>
        <v>#DIV/0!</v>
      </c>
      <c r="S29" s="473" t="e">
        <f t="shared" si="12"/>
        <v>#DIV/0!</v>
      </c>
      <c r="T29" s="414" t="e">
        <f t="shared" si="13"/>
        <v>#DIV/0!</v>
      </c>
    </row>
    <row r="30" spans="1:20" x14ac:dyDescent="0.2">
      <c r="A30" s="479"/>
      <c r="B30" s="480"/>
      <c r="C30" s="422"/>
      <c r="D30" s="481"/>
      <c r="E30" s="480"/>
      <c r="F30" s="411">
        <f t="shared" si="0"/>
        <v>0</v>
      </c>
      <c r="G30" s="411">
        <f t="shared" si="1"/>
        <v>0</v>
      </c>
      <c r="H30" s="480"/>
      <c r="I30" s="486"/>
      <c r="J30" s="481"/>
      <c r="K30" s="487"/>
      <c r="L30" s="487"/>
      <c r="M30" s="487"/>
      <c r="N30" s="487"/>
      <c r="O30" s="415">
        <f t="shared" si="8"/>
        <v>0</v>
      </c>
      <c r="P30" s="412">
        <f t="shared" si="9"/>
        <v>0</v>
      </c>
      <c r="Q30" s="473" t="e">
        <f t="shared" si="10"/>
        <v>#DIV/0!</v>
      </c>
      <c r="R30" s="413" t="e">
        <f t="shared" si="11"/>
        <v>#DIV/0!</v>
      </c>
      <c r="S30" s="473" t="e">
        <f t="shared" si="12"/>
        <v>#DIV/0!</v>
      </c>
      <c r="T30" s="414" t="e">
        <f t="shared" si="13"/>
        <v>#DIV/0!</v>
      </c>
    </row>
    <row r="31" spans="1:20" x14ac:dyDescent="0.2">
      <c r="A31" s="479"/>
      <c r="B31" s="480"/>
      <c r="C31" s="422"/>
      <c r="D31" s="481"/>
      <c r="E31" s="480"/>
      <c r="F31" s="411">
        <f t="shared" si="0"/>
        <v>0</v>
      </c>
      <c r="G31" s="411">
        <f t="shared" si="1"/>
        <v>0</v>
      </c>
      <c r="H31" s="480"/>
      <c r="I31" s="486"/>
      <c r="J31" s="481"/>
      <c r="K31" s="487"/>
      <c r="L31" s="487"/>
      <c r="M31" s="487"/>
      <c r="N31" s="487"/>
      <c r="O31" s="415">
        <f t="shared" si="8"/>
        <v>0</v>
      </c>
      <c r="P31" s="412">
        <f t="shared" si="9"/>
        <v>0</v>
      </c>
      <c r="Q31" s="473" t="e">
        <f t="shared" si="10"/>
        <v>#DIV/0!</v>
      </c>
      <c r="R31" s="413" t="e">
        <f t="shared" si="11"/>
        <v>#DIV/0!</v>
      </c>
      <c r="S31" s="473" t="e">
        <f t="shared" si="12"/>
        <v>#DIV/0!</v>
      </c>
      <c r="T31" s="414" t="e">
        <f t="shared" si="13"/>
        <v>#DIV/0!</v>
      </c>
    </row>
    <row r="32" spans="1:20" x14ac:dyDescent="0.2">
      <c r="A32" s="479"/>
      <c r="B32" s="480"/>
      <c r="C32" s="422"/>
      <c r="D32" s="481"/>
      <c r="E32" s="480"/>
      <c r="F32" s="411">
        <f t="shared" si="0"/>
        <v>0</v>
      </c>
      <c r="G32" s="411">
        <f t="shared" si="1"/>
        <v>0</v>
      </c>
      <c r="H32" s="480"/>
      <c r="I32" s="486"/>
      <c r="J32" s="481"/>
      <c r="K32" s="487"/>
      <c r="L32" s="487"/>
      <c r="M32" s="487"/>
      <c r="N32" s="487"/>
      <c r="O32" s="415">
        <f t="shared" si="8"/>
        <v>0</v>
      </c>
      <c r="P32" s="412">
        <f t="shared" si="9"/>
        <v>0</v>
      </c>
      <c r="Q32" s="473" t="e">
        <f t="shared" si="10"/>
        <v>#DIV/0!</v>
      </c>
      <c r="R32" s="413" t="e">
        <f t="shared" si="11"/>
        <v>#DIV/0!</v>
      </c>
      <c r="S32" s="473" t="e">
        <f t="shared" si="12"/>
        <v>#DIV/0!</v>
      </c>
      <c r="T32" s="414" t="e">
        <f t="shared" si="13"/>
        <v>#DIV/0!</v>
      </c>
    </row>
    <row r="33" spans="1:20" x14ac:dyDescent="0.2">
      <c r="A33" s="479"/>
      <c r="B33" s="480"/>
      <c r="C33" s="422"/>
      <c r="D33" s="481"/>
      <c r="E33" s="480"/>
      <c r="F33" s="411">
        <f t="shared" si="0"/>
        <v>0</v>
      </c>
      <c r="G33" s="411">
        <f t="shared" si="1"/>
        <v>0</v>
      </c>
      <c r="H33" s="480"/>
      <c r="I33" s="486"/>
      <c r="J33" s="481"/>
      <c r="K33" s="487"/>
      <c r="L33" s="487"/>
      <c r="M33" s="487"/>
      <c r="N33" s="487"/>
      <c r="O33" s="415">
        <f t="shared" si="8"/>
        <v>0</v>
      </c>
      <c r="P33" s="412">
        <f t="shared" si="9"/>
        <v>0</v>
      </c>
      <c r="Q33" s="473" t="e">
        <f t="shared" si="10"/>
        <v>#DIV/0!</v>
      </c>
      <c r="R33" s="413" t="e">
        <f t="shared" si="11"/>
        <v>#DIV/0!</v>
      </c>
      <c r="S33" s="473" t="e">
        <f t="shared" si="12"/>
        <v>#DIV/0!</v>
      </c>
      <c r="T33" s="414" t="e">
        <f t="shared" si="13"/>
        <v>#DIV/0!</v>
      </c>
    </row>
    <row r="34" spans="1:20" x14ac:dyDescent="0.2">
      <c r="A34" s="479"/>
      <c r="B34" s="480"/>
      <c r="C34" s="422"/>
      <c r="D34" s="481"/>
      <c r="E34" s="480"/>
      <c r="F34" s="411">
        <f t="shared" si="0"/>
        <v>0</v>
      </c>
      <c r="G34" s="411">
        <f t="shared" si="1"/>
        <v>0</v>
      </c>
      <c r="H34" s="480"/>
      <c r="I34" s="486"/>
      <c r="J34" s="481"/>
      <c r="K34" s="487"/>
      <c r="L34" s="487"/>
      <c r="M34" s="487"/>
      <c r="N34" s="487"/>
      <c r="O34" s="415">
        <f t="shared" si="8"/>
        <v>0</v>
      </c>
      <c r="P34" s="412">
        <f t="shared" si="9"/>
        <v>0</v>
      </c>
      <c r="Q34" s="473" t="e">
        <f t="shared" si="10"/>
        <v>#DIV/0!</v>
      </c>
      <c r="R34" s="413" t="e">
        <f t="shared" si="11"/>
        <v>#DIV/0!</v>
      </c>
      <c r="S34" s="473" t="e">
        <f t="shared" si="12"/>
        <v>#DIV/0!</v>
      </c>
      <c r="T34" s="414" t="e">
        <f t="shared" si="13"/>
        <v>#DIV/0!</v>
      </c>
    </row>
    <row r="35" spans="1:20" x14ac:dyDescent="0.2">
      <c r="A35" s="479"/>
      <c r="B35" s="480"/>
      <c r="C35" s="422"/>
      <c r="D35" s="481"/>
      <c r="E35" s="480"/>
      <c r="F35" s="411">
        <f t="shared" si="0"/>
        <v>0</v>
      </c>
      <c r="G35" s="411">
        <f t="shared" si="1"/>
        <v>0</v>
      </c>
      <c r="H35" s="480"/>
      <c r="I35" s="486"/>
      <c r="J35" s="481"/>
      <c r="K35" s="487"/>
      <c r="L35" s="487"/>
      <c r="M35" s="487"/>
      <c r="N35" s="487"/>
      <c r="O35" s="415">
        <f t="shared" si="8"/>
        <v>0</v>
      </c>
      <c r="P35" s="412">
        <f t="shared" si="9"/>
        <v>0</v>
      </c>
      <c r="Q35" s="473" t="e">
        <f t="shared" si="10"/>
        <v>#DIV/0!</v>
      </c>
      <c r="R35" s="413" t="e">
        <f t="shared" si="11"/>
        <v>#DIV/0!</v>
      </c>
      <c r="S35" s="473" t="e">
        <f t="shared" si="12"/>
        <v>#DIV/0!</v>
      </c>
      <c r="T35" s="414" t="e">
        <f t="shared" si="13"/>
        <v>#DIV/0!</v>
      </c>
    </row>
    <row r="36" spans="1:20" x14ac:dyDescent="0.2">
      <c r="A36" s="479"/>
      <c r="B36" s="480"/>
      <c r="C36" s="422"/>
      <c r="D36" s="481"/>
      <c r="E36" s="480"/>
      <c r="F36" s="411">
        <f t="shared" si="0"/>
        <v>0</v>
      </c>
      <c r="G36" s="411">
        <f t="shared" si="1"/>
        <v>0</v>
      </c>
      <c r="H36" s="480"/>
      <c r="I36" s="486"/>
      <c r="J36" s="481"/>
      <c r="K36" s="487"/>
      <c r="L36" s="487"/>
      <c r="M36" s="487"/>
      <c r="N36" s="487"/>
      <c r="O36" s="415">
        <f t="shared" si="8"/>
        <v>0</v>
      </c>
      <c r="P36" s="412">
        <f t="shared" si="9"/>
        <v>0</v>
      </c>
      <c r="Q36" s="473" t="e">
        <f t="shared" si="10"/>
        <v>#DIV/0!</v>
      </c>
      <c r="R36" s="413" t="e">
        <f t="shared" si="11"/>
        <v>#DIV/0!</v>
      </c>
      <c r="S36" s="473" t="e">
        <f t="shared" si="12"/>
        <v>#DIV/0!</v>
      </c>
      <c r="T36" s="414" t="e">
        <f t="shared" si="13"/>
        <v>#DIV/0!</v>
      </c>
    </row>
    <row r="37" spans="1:20" x14ac:dyDescent="0.2">
      <c r="A37" s="479"/>
      <c r="B37" s="480"/>
      <c r="C37" s="422"/>
      <c r="D37" s="481"/>
      <c r="E37" s="480"/>
      <c r="F37" s="411">
        <f t="shared" si="0"/>
        <v>0</v>
      </c>
      <c r="G37" s="411">
        <f t="shared" si="1"/>
        <v>0</v>
      </c>
      <c r="H37" s="480"/>
      <c r="I37" s="486"/>
      <c r="J37" s="481"/>
      <c r="K37" s="487"/>
      <c r="L37" s="487"/>
      <c r="M37" s="487"/>
      <c r="N37" s="487"/>
      <c r="O37" s="415">
        <f t="shared" si="8"/>
        <v>0</v>
      </c>
      <c r="P37" s="412">
        <f t="shared" si="9"/>
        <v>0</v>
      </c>
      <c r="Q37" s="473" t="e">
        <f t="shared" si="10"/>
        <v>#DIV/0!</v>
      </c>
      <c r="R37" s="413" t="e">
        <f t="shared" si="11"/>
        <v>#DIV/0!</v>
      </c>
      <c r="S37" s="473" t="e">
        <f t="shared" si="12"/>
        <v>#DIV/0!</v>
      </c>
      <c r="T37" s="414" t="e">
        <f t="shared" si="13"/>
        <v>#DIV/0!</v>
      </c>
    </row>
    <row r="38" spans="1:20" x14ac:dyDescent="0.2">
      <c r="A38" s="479"/>
      <c r="B38" s="480"/>
      <c r="C38" s="422"/>
      <c r="D38" s="481"/>
      <c r="E38" s="480"/>
      <c r="F38" s="411">
        <f t="shared" si="0"/>
        <v>0</v>
      </c>
      <c r="G38" s="411">
        <f t="shared" si="1"/>
        <v>0</v>
      </c>
      <c r="H38" s="480"/>
      <c r="I38" s="486"/>
      <c r="J38" s="481"/>
      <c r="K38" s="487"/>
      <c r="L38" s="487"/>
      <c r="M38" s="487"/>
      <c r="N38" s="487"/>
      <c r="O38" s="415">
        <f t="shared" si="8"/>
        <v>0</v>
      </c>
      <c r="P38" s="412">
        <f t="shared" si="9"/>
        <v>0</v>
      </c>
      <c r="Q38" s="473" t="e">
        <f t="shared" si="10"/>
        <v>#DIV/0!</v>
      </c>
      <c r="R38" s="413" t="e">
        <f t="shared" si="11"/>
        <v>#DIV/0!</v>
      </c>
      <c r="S38" s="473" t="e">
        <f t="shared" si="12"/>
        <v>#DIV/0!</v>
      </c>
      <c r="T38" s="414" t="e">
        <f t="shared" si="13"/>
        <v>#DIV/0!</v>
      </c>
    </row>
    <row r="39" spans="1:20" x14ac:dyDescent="0.2">
      <c r="A39" s="479"/>
      <c r="B39" s="480"/>
      <c r="C39" s="422"/>
      <c r="D39" s="481"/>
      <c r="E39" s="480"/>
      <c r="F39" s="411">
        <f t="shared" si="0"/>
        <v>0</v>
      </c>
      <c r="G39" s="411">
        <f t="shared" si="1"/>
        <v>0</v>
      </c>
      <c r="H39" s="480"/>
      <c r="I39" s="486"/>
      <c r="J39" s="481"/>
      <c r="K39" s="487"/>
      <c r="L39" s="487"/>
      <c r="M39" s="487"/>
      <c r="N39" s="487"/>
      <c r="O39" s="415">
        <f t="shared" si="8"/>
        <v>0</v>
      </c>
      <c r="P39" s="412">
        <f t="shared" si="9"/>
        <v>0</v>
      </c>
      <c r="Q39" s="473" t="e">
        <f t="shared" si="10"/>
        <v>#DIV/0!</v>
      </c>
      <c r="R39" s="413" t="e">
        <f t="shared" si="11"/>
        <v>#DIV/0!</v>
      </c>
      <c r="S39" s="473" t="e">
        <f t="shared" si="12"/>
        <v>#DIV/0!</v>
      </c>
      <c r="T39" s="414" t="e">
        <f t="shared" si="13"/>
        <v>#DIV/0!</v>
      </c>
    </row>
    <row r="40" spans="1:20" x14ac:dyDescent="0.2">
      <c r="A40" s="479"/>
      <c r="B40" s="480"/>
      <c r="C40" s="422"/>
      <c r="D40" s="481"/>
      <c r="E40" s="480"/>
      <c r="F40" s="411">
        <f t="shared" si="0"/>
        <v>0</v>
      </c>
      <c r="G40" s="411">
        <f t="shared" si="1"/>
        <v>0</v>
      </c>
      <c r="H40" s="480"/>
      <c r="I40" s="486"/>
      <c r="J40" s="481"/>
      <c r="K40" s="487"/>
      <c r="L40" s="487"/>
      <c r="M40" s="487"/>
      <c r="N40" s="487"/>
      <c r="O40" s="415">
        <f t="shared" si="8"/>
        <v>0</v>
      </c>
      <c r="P40" s="412">
        <f t="shared" si="9"/>
        <v>0</v>
      </c>
      <c r="Q40" s="473" t="e">
        <f t="shared" si="10"/>
        <v>#DIV/0!</v>
      </c>
      <c r="R40" s="413" t="e">
        <f t="shared" si="11"/>
        <v>#DIV/0!</v>
      </c>
      <c r="S40" s="473" t="e">
        <f t="shared" si="12"/>
        <v>#DIV/0!</v>
      </c>
      <c r="T40" s="414" t="e">
        <f t="shared" si="13"/>
        <v>#DIV/0!</v>
      </c>
    </row>
    <row r="41" spans="1:20" x14ac:dyDescent="0.2">
      <c r="A41" s="479"/>
      <c r="B41" s="480"/>
      <c r="C41" s="422"/>
      <c r="D41" s="481"/>
      <c r="E41" s="480"/>
      <c r="F41" s="411">
        <f t="shared" si="0"/>
        <v>0</v>
      </c>
      <c r="G41" s="411">
        <f t="shared" si="1"/>
        <v>0</v>
      </c>
      <c r="H41" s="480"/>
      <c r="I41" s="486"/>
      <c r="J41" s="481"/>
      <c r="K41" s="487"/>
      <c r="L41" s="487"/>
      <c r="M41" s="487"/>
      <c r="N41" s="487"/>
      <c r="O41" s="415">
        <f t="shared" si="8"/>
        <v>0</v>
      </c>
      <c r="P41" s="412">
        <f t="shared" si="9"/>
        <v>0</v>
      </c>
      <c r="Q41" s="473" t="e">
        <f t="shared" si="10"/>
        <v>#DIV/0!</v>
      </c>
      <c r="R41" s="413" t="e">
        <f t="shared" si="11"/>
        <v>#DIV/0!</v>
      </c>
      <c r="S41" s="473" t="e">
        <f t="shared" si="12"/>
        <v>#DIV/0!</v>
      </c>
      <c r="T41" s="414" t="e">
        <f t="shared" si="13"/>
        <v>#DIV/0!</v>
      </c>
    </row>
    <row r="42" spans="1:20" x14ac:dyDescent="0.2">
      <c r="A42" s="479"/>
      <c r="B42" s="480"/>
      <c r="C42" s="422"/>
      <c r="D42" s="481"/>
      <c r="E42" s="480"/>
      <c r="F42" s="411">
        <f t="shared" si="0"/>
        <v>0</v>
      </c>
      <c r="G42" s="411">
        <f t="shared" si="1"/>
        <v>0</v>
      </c>
      <c r="H42" s="480"/>
      <c r="I42" s="486"/>
      <c r="J42" s="481"/>
      <c r="K42" s="487"/>
      <c r="L42" s="487"/>
      <c r="M42" s="487"/>
      <c r="N42" s="487"/>
      <c r="O42" s="415">
        <f t="shared" si="8"/>
        <v>0</v>
      </c>
      <c r="P42" s="412">
        <f t="shared" si="9"/>
        <v>0</v>
      </c>
      <c r="Q42" s="473" t="e">
        <f t="shared" si="10"/>
        <v>#DIV/0!</v>
      </c>
      <c r="R42" s="413" t="e">
        <f t="shared" si="11"/>
        <v>#DIV/0!</v>
      </c>
      <c r="S42" s="473" t="e">
        <f t="shared" si="12"/>
        <v>#DIV/0!</v>
      </c>
      <c r="T42" s="414" t="e">
        <f t="shared" si="13"/>
        <v>#DIV/0!</v>
      </c>
    </row>
    <row r="43" spans="1:20" x14ac:dyDescent="0.2">
      <c r="A43" s="479"/>
      <c r="B43" s="480"/>
      <c r="C43" s="422"/>
      <c r="D43" s="481"/>
      <c r="E43" s="480"/>
      <c r="F43" s="411">
        <f t="shared" si="0"/>
        <v>0</v>
      </c>
      <c r="G43" s="411">
        <f t="shared" si="1"/>
        <v>0</v>
      </c>
      <c r="H43" s="480"/>
      <c r="I43" s="486"/>
      <c r="J43" s="481"/>
      <c r="K43" s="487"/>
      <c r="L43" s="487"/>
      <c r="M43" s="487"/>
      <c r="N43" s="487"/>
      <c r="O43" s="415">
        <f t="shared" si="8"/>
        <v>0</v>
      </c>
      <c r="P43" s="412">
        <f t="shared" si="9"/>
        <v>0</v>
      </c>
      <c r="Q43" s="473" t="e">
        <f t="shared" si="10"/>
        <v>#DIV/0!</v>
      </c>
      <c r="R43" s="413" t="e">
        <f t="shared" si="11"/>
        <v>#DIV/0!</v>
      </c>
      <c r="S43" s="473" t="e">
        <f t="shared" si="12"/>
        <v>#DIV/0!</v>
      </c>
      <c r="T43" s="414" t="e">
        <f t="shared" si="13"/>
        <v>#DIV/0!</v>
      </c>
    </row>
    <row r="44" spans="1:20" x14ac:dyDescent="0.2">
      <c r="A44" s="479"/>
      <c r="B44" s="480"/>
      <c r="C44" s="422"/>
      <c r="D44" s="481"/>
      <c r="E44" s="480"/>
      <c r="F44" s="411">
        <f t="shared" si="0"/>
        <v>0</v>
      </c>
      <c r="G44" s="411">
        <f t="shared" si="1"/>
        <v>0</v>
      </c>
      <c r="H44" s="480"/>
      <c r="I44" s="486"/>
      <c r="J44" s="481"/>
      <c r="K44" s="487"/>
      <c r="L44" s="487"/>
      <c r="M44" s="487"/>
      <c r="N44" s="487"/>
      <c r="O44" s="415">
        <f t="shared" si="8"/>
        <v>0</v>
      </c>
      <c r="P44" s="412">
        <f t="shared" si="9"/>
        <v>0</v>
      </c>
      <c r="Q44" s="473" t="e">
        <f t="shared" si="10"/>
        <v>#DIV/0!</v>
      </c>
      <c r="R44" s="413" t="e">
        <f t="shared" si="11"/>
        <v>#DIV/0!</v>
      </c>
      <c r="S44" s="473" t="e">
        <f t="shared" si="12"/>
        <v>#DIV/0!</v>
      </c>
      <c r="T44" s="414" t="e">
        <f t="shared" si="13"/>
        <v>#DIV/0!</v>
      </c>
    </row>
    <row r="45" spans="1:20" x14ac:dyDescent="0.2">
      <c r="A45" s="479"/>
      <c r="B45" s="480"/>
      <c r="C45" s="422"/>
      <c r="D45" s="481"/>
      <c r="E45" s="480"/>
      <c r="F45" s="411">
        <f t="shared" si="0"/>
        <v>0</v>
      </c>
      <c r="G45" s="411">
        <f t="shared" si="1"/>
        <v>0</v>
      </c>
      <c r="H45" s="480"/>
      <c r="I45" s="486"/>
      <c r="J45" s="481"/>
      <c r="K45" s="487"/>
      <c r="L45" s="487"/>
      <c r="M45" s="487"/>
      <c r="N45" s="487"/>
      <c r="O45" s="415">
        <f t="shared" si="8"/>
        <v>0</v>
      </c>
      <c r="P45" s="412">
        <f t="shared" si="9"/>
        <v>0</v>
      </c>
      <c r="Q45" s="473" t="e">
        <f t="shared" si="10"/>
        <v>#DIV/0!</v>
      </c>
      <c r="R45" s="413" t="e">
        <f t="shared" si="11"/>
        <v>#DIV/0!</v>
      </c>
      <c r="S45" s="473" t="e">
        <f t="shared" si="12"/>
        <v>#DIV/0!</v>
      </c>
      <c r="T45" s="414" t="e">
        <f t="shared" si="13"/>
        <v>#DIV/0!</v>
      </c>
    </row>
    <row r="46" spans="1:20" x14ac:dyDescent="0.2">
      <c r="A46" s="479"/>
      <c r="B46" s="480"/>
      <c r="C46" s="422"/>
      <c r="D46" s="481"/>
      <c r="E46" s="480"/>
      <c r="F46" s="411">
        <f t="shared" si="0"/>
        <v>0</v>
      </c>
      <c r="G46" s="411">
        <f t="shared" si="1"/>
        <v>0</v>
      </c>
      <c r="H46" s="480"/>
      <c r="I46" s="486"/>
      <c r="J46" s="481"/>
      <c r="K46" s="487"/>
      <c r="L46" s="487"/>
      <c r="M46" s="487"/>
      <c r="N46" s="487"/>
      <c r="O46" s="415">
        <f t="shared" si="8"/>
        <v>0</v>
      </c>
      <c r="P46" s="412">
        <f t="shared" si="9"/>
        <v>0</v>
      </c>
      <c r="Q46" s="473" t="e">
        <f t="shared" si="10"/>
        <v>#DIV/0!</v>
      </c>
      <c r="R46" s="413" t="e">
        <f t="shared" si="11"/>
        <v>#DIV/0!</v>
      </c>
      <c r="S46" s="473" t="e">
        <f t="shared" si="12"/>
        <v>#DIV/0!</v>
      </c>
      <c r="T46" s="414" t="e">
        <f t="shared" si="13"/>
        <v>#DIV/0!</v>
      </c>
    </row>
    <row r="47" spans="1:20" x14ac:dyDescent="0.2">
      <c r="A47" s="479"/>
      <c r="B47" s="480"/>
      <c r="C47" s="422"/>
      <c r="D47" s="481"/>
      <c r="E47" s="480"/>
      <c r="F47" s="411">
        <f t="shared" si="0"/>
        <v>0</v>
      </c>
      <c r="G47" s="411">
        <f t="shared" si="1"/>
        <v>0</v>
      </c>
      <c r="H47" s="480"/>
      <c r="I47" s="486"/>
      <c r="J47" s="481"/>
      <c r="K47" s="487"/>
      <c r="L47" s="487"/>
      <c r="M47" s="487"/>
      <c r="N47" s="487"/>
      <c r="O47" s="415">
        <f t="shared" si="8"/>
        <v>0</v>
      </c>
      <c r="P47" s="412">
        <f t="shared" si="9"/>
        <v>0</v>
      </c>
      <c r="Q47" s="473" t="e">
        <f t="shared" si="10"/>
        <v>#DIV/0!</v>
      </c>
      <c r="R47" s="413" t="e">
        <f t="shared" si="11"/>
        <v>#DIV/0!</v>
      </c>
      <c r="S47" s="473" t="e">
        <f t="shared" si="12"/>
        <v>#DIV/0!</v>
      </c>
      <c r="T47" s="414" t="e">
        <f t="shared" si="13"/>
        <v>#DIV/0!</v>
      </c>
    </row>
    <row r="48" spans="1:20" x14ac:dyDescent="0.2">
      <c r="A48" s="479"/>
      <c r="B48" s="480"/>
      <c r="C48" s="422"/>
      <c r="D48" s="481"/>
      <c r="E48" s="480"/>
      <c r="F48" s="411">
        <f t="shared" si="0"/>
        <v>0</v>
      </c>
      <c r="G48" s="411">
        <f t="shared" si="1"/>
        <v>0</v>
      </c>
      <c r="H48" s="480"/>
      <c r="I48" s="486"/>
      <c r="J48" s="481"/>
      <c r="K48" s="487"/>
      <c r="L48" s="487"/>
      <c r="M48" s="487"/>
      <c r="N48" s="487"/>
      <c r="O48" s="415">
        <f t="shared" si="8"/>
        <v>0</v>
      </c>
      <c r="P48" s="412">
        <f t="shared" si="9"/>
        <v>0</v>
      </c>
      <c r="Q48" s="473" t="e">
        <f t="shared" si="10"/>
        <v>#DIV/0!</v>
      </c>
      <c r="R48" s="413" t="e">
        <f t="shared" si="11"/>
        <v>#DIV/0!</v>
      </c>
      <c r="S48" s="473" t="e">
        <f t="shared" si="12"/>
        <v>#DIV/0!</v>
      </c>
      <c r="T48" s="414" t="e">
        <f t="shared" si="13"/>
        <v>#DIV/0!</v>
      </c>
    </row>
    <row r="49" spans="1:20" x14ac:dyDescent="0.2">
      <c r="A49" s="479"/>
      <c r="B49" s="480"/>
      <c r="C49" s="422"/>
      <c r="D49" s="481"/>
      <c r="E49" s="480"/>
      <c r="F49" s="411">
        <f t="shared" si="0"/>
        <v>0</v>
      </c>
      <c r="G49" s="411">
        <f t="shared" si="1"/>
        <v>0</v>
      </c>
      <c r="H49" s="480"/>
      <c r="I49" s="486"/>
      <c r="J49" s="481"/>
      <c r="K49" s="487"/>
      <c r="L49" s="487"/>
      <c r="M49" s="487"/>
      <c r="N49" s="487"/>
      <c r="O49" s="415">
        <f t="shared" si="8"/>
        <v>0</v>
      </c>
      <c r="P49" s="412">
        <f t="shared" si="9"/>
        <v>0</v>
      </c>
      <c r="Q49" s="473" t="e">
        <f t="shared" si="10"/>
        <v>#DIV/0!</v>
      </c>
      <c r="R49" s="413" t="e">
        <f t="shared" si="11"/>
        <v>#DIV/0!</v>
      </c>
      <c r="S49" s="473" t="e">
        <f t="shared" si="12"/>
        <v>#DIV/0!</v>
      </c>
      <c r="T49" s="414" t="e">
        <f t="shared" si="13"/>
        <v>#DIV/0!</v>
      </c>
    </row>
    <row r="50" spans="1:20" x14ac:dyDescent="0.2">
      <c r="A50" s="479"/>
      <c r="B50" s="480"/>
      <c r="C50" s="422"/>
      <c r="D50" s="481"/>
      <c r="E50" s="480"/>
      <c r="F50" s="411">
        <f t="shared" si="0"/>
        <v>0</v>
      </c>
      <c r="G50" s="411">
        <f t="shared" si="1"/>
        <v>0</v>
      </c>
      <c r="H50" s="480"/>
      <c r="I50" s="486"/>
      <c r="J50" s="481"/>
      <c r="K50" s="487"/>
      <c r="L50" s="487"/>
      <c r="M50" s="487"/>
      <c r="N50" s="487"/>
      <c r="O50" s="415">
        <f t="shared" si="8"/>
        <v>0</v>
      </c>
      <c r="P50" s="412">
        <f t="shared" si="9"/>
        <v>0</v>
      </c>
      <c r="Q50" s="473" t="e">
        <f t="shared" si="10"/>
        <v>#DIV/0!</v>
      </c>
      <c r="R50" s="413" t="e">
        <f t="shared" si="11"/>
        <v>#DIV/0!</v>
      </c>
      <c r="S50" s="473" t="e">
        <f t="shared" si="12"/>
        <v>#DIV/0!</v>
      </c>
      <c r="T50" s="414" t="e">
        <f t="shared" si="13"/>
        <v>#DIV/0!</v>
      </c>
    </row>
    <row r="51" spans="1:20" x14ac:dyDescent="0.2">
      <c r="A51" s="479"/>
      <c r="B51" s="480"/>
      <c r="C51" s="422"/>
      <c r="D51" s="481"/>
      <c r="E51" s="480"/>
      <c r="F51" s="411">
        <f t="shared" si="0"/>
        <v>0</v>
      </c>
      <c r="G51" s="411">
        <f t="shared" si="1"/>
        <v>0</v>
      </c>
      <c r="H51" s="480"/>
      <c r="I51" s="486"/>
      <c r="J51" s="481"/>
      <c r="K51" s="487"/>
      <c r="L51" s="487"/>
      <c r="M51" s="487"/>
      <c r="N51" s="487"/>
      <c r="O51" s="415">
        <f t="shared" si="8"/>
        <v>0</v>
      </c>
      <c r="P51" s="412">
        <f t="shared" si="9"/>
        <v>0</v>
      </c>
      <c r="Q51" s="473" t="e">
        <f t="shared" si="10"/>
        <v>#DIV/0!</v>
      </c>
      <c r="R51" s="413" t="e">
        <f t="shared" si="11"/>
        <v>#DIV/0!</v>
      </c>
      <c r="S51" s="473" t="e">
        <f t="shared" si="12"/>
        <v>#DIV/0!</v>
      </c>
      <c r="T51" s="414" t="e">
        <f t="shared" si="13"/>
        <v>#DIV/0!</v>
      </c>
    </row>
    <row r="52" spans="1:20" x14ac:dyDescent="0.2">
      <c r="A52" s="479"/>
      <c r="B52" s="480"/>
      <c r="C52" s="422"/>
      <c r="D52" s="481"/>
      <c r="E52" s="480"/>
      <c r="F52" s="411">
        <f t="shared" si="0"/>
        <v>0</v>
      </c>
      <c r="G52" s="411">
        <f t="shared" si="1"/>
        <v>0</v>
      </c>
      <c r="H52" s="480"/>
      <c r="I52" s="486"/>
      <c r="J52" s="481"/>
      <c r="K52" s="487"/>
      <c r="L52" s="487"/>
      <c r="M52" s="487"/>
      <c r="N52" s="487"/>
      <c r="O52" s="415">
        <f t="shared" si="8"/>
        <v>0</v>
      </c>
      <c r="P52" s="412">
        <f t="shared" si="9"/>
        <v>0</v>
      </c>
      <c r="Q52" s="473" t="e">
        <f t="shared" si="10"/>
        <v>#DIV/0!</v>
      </c>
      <c r="R52" s="413" t="e">
        <f t="shared" si="11"/>
        <v>#DIV/0!</v>
      </c>
      <c r="S52" s="473" t="e">
        <f t="shared" si="12"/>
        <v>#DIV/0!</v>
      </c>
      <c r="T52" s="414" t="e">
        <f t="shared" si="13"/>
        <v>#DIV/0!</v>
      </c>
    </row>
    <row r="53" spans="1:20" x14ac:dyDescent="0.2">
      <c r="A53" s="479"/>
      <c r="B53" s="480"/>
      <c r="C53" s="422"/>
      <c r="D53" s="481"/>
      <c r="E53" s="480"/>
      <c r="F53" s="411">
        <f t="shared" si="0"/>
        <v>0</v>
      </c>
      <c r="G53" s="411">
        <f t="shared" si="1"/>
        <v>0</v>
      </c>
      <c r="H53" s="480"/>
      <c r="I53" s="486"/>
      <c r="J53" s="481"/>
      <c r="K53" s="487"/>
      <c r="L53" s="487"/>
      <c r="M53" s="487"/>
      <c r="N53" s="487"/>
      <c r="O53" s="415">
        <f t="shared" si="8"/>
        <v>0</v>
      </c>
      <c r="P53" s="412">
        <f t="shared" si="9"/>
        <v>0</v>
      </c>
      <c r="Q53" s="473" t="e">
        <f t="shared" si="10"/>
        <v>#DIV/0!</v>
      </c>
      <c r="R53" s="413" t="e">
        <f t="shared" si="11"/>
        <v>#DIV/0!</v>
      </c>
      <c r="S53" s="473" t="e">
        <f t="shared" si="12"/>
        <v>#DIV/0!</v>
      </c>
      <c r="T53" s="414" t="e">
        <f t="shared" si="13"/>
        <v>#DIV/0!</v>
      </c>
    </row>
    <row r="54" spans="1:20" x14ac:dyDescent="0.2">
      <c r="A54" s="479"/>
      <c r="B54" s="480"/>
      <c r="C54" s="422"/>
      <c r="D54" s="481"/>
      <c r="E54" s="480"/>
      <c r="F54" s="411">
        <f t="shared" si="0"/>
        <v>0</v>
      </c>
      <c r="G54" s="411">
        <f t="shared" si="1"/>
        <v>0</v>
      </c>
      <c r="H54" s="480"/>
      <c r="I54" s="486"/>
      <c r="J54" s="481"/>
      <c r="K54" s="487"/>
      <c r="L54" s="487"/>
      <c r="M54" s="487"/>
      <c r="N54" s="487"/>
      <c r="O54" s="415">
        <f t="shared" si="8"/>
        <v>0</v>
      </c>
      <c r="P54" s="412">
        <f t="shared" si="9"/>
        <v>0</v>
      </c>
      <c r="Q54" s="473" t="e">
        <f t="shared" si="10"/>
        <v>#DIV/0!</v>
      </c>
      <c r="R54" s="413" t="e">
        <f t="shared" si="11"/>
        <v>#DIV/0!</v>
      </c>
      <c r="S54" s="473" t="e">
        <f t="shared" si="12"/>
        <v>#DIV/0!</v>
      </c>
      <c r="T54" s="414" t="e">
        <f t="shared" si="13"/>
        <v>#DIV/0!</v>
      </c>
    </row>
    <row r="55" spans="1:20" x14ac:dyDescent="0.2">
      <c r="A55" s="479"/>
      <c r="B55" s="480"/>
      <c r="C55" s="422"/>
      <c r="D55" s="481"/>
      <c r="E55" s="480"/>
      <c r="F55" s="411">
        <f t="shared" si="0"/>
        <v>0</v>
      </c>
      <c r="G55" s="411">
        <f t="shared" si="1"/>
        <v>0</v>
      </c>
      <c r="H55" s="480"/>
      <c r="I55" s="486"/>
      <c r="J55" s="481"/>
      <c r="K55" s="487"/>
      <c r="L55" s="487"/>
      <c r="M55" s="487"/>
      <c r="N55" s="487"/>
      <c r="O55" s="415">
        <f t="shared" si="8"/>
        <v>0</v>
      </c>
      <c r="P55" s="412">
        <f t="shared" si="9"/>
        <v>0</v>
      </c>
      <c r="Q55" s="473" t="e">
        <f t="shared" si="10"/>
        <v>#DIV/0!</v>
      </c>
      <c r="R55" s="413" t="e">
        <f t="shared" si="11"/>
        <v>#DIV/0!</v>
      </c>
      <c r="S55" s="473" t="e">
        <f t="shared" si="12"/>
        <v>#DIV/0!</v>
      </c>
      <c r="T55" s="414" t="e">
        <f t="shared" si="13"/>
        <v>#DIV/0!</v>
      </c>
    </row>
    <row r="56" spans="1:20" x14ac:dyDescent="0.2">
      <c r="A56" s="479"/>
      <c r="B56" s="480"/>
      <c r="C56" s="422"/>
      <c r="D56" s="481"/>
      <c r="E56" s="480"/>
      <c r="F56" s="411">
        <f t="shared" si="0"/>
        <v>0</v>
      </c>
      <c r="G56" s="411">
        <f t="shared" si="1"/>
        <v>0</v>
      </c>
      <c r="H56" s="480"/>
      <c r="I56" s="486"/>
      <c r="J56" s="481"/>
      <c r="K56" s="487"/>
      <c r="L56" s="487"/>
      <c r="M56" s="487"/>
      <c r="N56" s="487"/>
      <c r="O56" s="415">
        <f t="shared" si="8"/>
        <v>0</v>
      </c>
      <c r="P56" s="412">
        <f t="shared" si="9"/>
        <v>0</v>
      </c>
      <c r="Q56" s="473" t="e">
        <f t="shared" si="10"/>
        <v>#DIV/0!</v>
      </c>
      <c r="R56" s="413" t="e">
        <f t="shared" si="11"/>
        <v>#DIV/0!</v>
      </c>
      <c r="S56" s="473" t="e">
        <f t="shared" si="12"/>
        <v>#DIV/0!</v>
      </c>
      <c r="T56" s="414" t="e">
        <f t="shared" si="13"/>
        <v>#DIV/0!</v>
      </c>
    </row>
    <row r="57" spans="1:20" x14ac:dyDescent="0.2">
      <c r="A57" s="479"/>
      <c r="B57" s="480"/>
      <c r="C57" s="422"/>
      <c r="D57" s="481"/>
      <c r="E57" s="480"/>
      <c r="F57" s="411">
        <f t="shared" si="0"/>
        <v>0</v>
      </c>
      <c r="G57" s="411">
        <f t="shared" si="1"/>
        <v>0</v>
      </c>
      <c r="H57" s="480"/>
      <c r="I57" s="486"/>
      <c r="J57" s="481"/>
      <c r="K57" s="487"/>
      <c r="L57" s="487"/>
      <c r="M57" s="487"/>
      <c r="N57" s="487"/>
      <c r="O57" s="415">
        <f t="shared" si="8"/>
        <v>0</v>
      </c>
      <c r="P57" s="412">
        <f t="shared" si="9"/>
        <v>0</v>
      </c>
      <c r="Q57" s="473" t="e">
        <f t="shared" si="10"/>
        <v>#DIV/0!</v>
      </c>
      <c r="R57" s="413" t="e">
        <f t="shared" si="11"/>
        <v>#DIV/0!</v>
      </c>
      <c r="S57" s="473" t="e">
        <f t="shared" si="12"/>
        <v>#DIV/0!</v>
      </c>
      <c r="T57" s="414" t="e">
        <f t="shared" si="13"/>
        <v>#DIV/0!</v>
      </c>
    </row>
    <row r="58" spans="1:20" x14ac:dyDescent="0.2">
      <c r="A58" s="479"/>
      <c r="B58" s="480"/>
      <c r="C58" s="422"/>
      <c r="D58" s="481"/>
      <c r="E58" s="480"/>
      <c r="F58" s="411">
        <f t="shared" si="0"/>
        <v>0</v>
      </c>
      <c r="G58" s="411">
        <f t="shared" si="1"/>
        <v>0</v>
      </c>
      <c r="H58" s="480"/>
      <c r="I58" s="486"/>
      <c r="J58" s="481"/>
      <c r="K58" s="487"/>
      <c r="L58" s="487"/>
      <c r="M58" s="487"/>
      <c r="N58" s="487"/>
      <c r="O58" s="415">
        <f t="shared" si="8"/>
        <v>0</v>
      </c>
      <c r="P58" s="412">
        <f t="shared" si="9"/>
        <v>0</v>
      </c>
      <c r="Q58" s="473" t="e">
        <f t="shared" si="10"/>
        <v>#DIV/0!</v>
      </c>
      <c r="R58" s="413" t="e">
        <f t="shared" si="11"/>
        <v>#DIV/0!</v>
      </c>
      <c r="S58" s="473" t="e">
        <f t="shared" si="12"/>
        <v>#DIV/0!</v>
      </c>
      <c r="T58" s="414" t="e">
        <f t="shared" si="13"/>
        <v>#DIV/0!</v>
      </c>
    </row>
    <row r="59" spans="1:20" x14ac:dyDescent="0.2">
      <c r="A59" s="479"/>
      <c r="B59" s="480"/>
      <c r="C59" s="422"/>
      <c r="D59" s="481"/>
      <c r="E59" s="480"/>
      <c r="F59" s="411">
        <f t="shared" si="0"/>
        <v>0</v>
      </c>
      <c r="G59" s="411">
        <f t="shared" si="1"/>
        <v>0</v>
      </c>
      <c r="H59" s="480"/>
      <c r="I59" s="486"/>
      <c r="J59" s="481"/>
      <c r="K59" s="487"/>
      <c r="L59" s="487"/>
      <c r="M59" s="487"/>
      <c r="N59" s="487"/>
      <c r="O59" s="415">
        <f t="shared" si="8"/>
        <v>0</v>
      </c>
      <c r="P59" s="412">
        <f t="shared" si="9"/>
        <v>0</v>
      </c>
      <c r="Q59" s="473" t="e">
        <f t="shared" si="10"/>
        <v>#DIV/0!</v>
      </c>
      <c r="R59" s="413" t="e">
        <f t="shared" si="11"/>
        <v>#DIV/0!</v>
      </c>
      <c r="S59" s="473" t="e">
        <f t="shared" si="12"/>
        <v>#DIV/0!</v>
      </c>
      <c r="T59" s="414" t="e">
        <f t="shared" si="13"/>
        <v>#DIV/0!</v>
      </c>
    </row>
    <row r="60" spans="1:20" x14ac:dyDescent="0.2">
      <c r="A60" s="479"/>
      <c r="B60" s="480"/>
      <c r="C60" s="422"/>
      <c r="D60" s="481"/>
      <c r="E60" s="480"/>
      <c r="F60" s="411">
        <f t="shared" si="0"/>
        <v>0</v>
      </c>
      <c r="G60" s="411">
        <f t="shared" si="1"/>
        <v>0</v>
      </c>
      <c r="H60" s="480"/>
      <c r="I60" s="486"/>
      <c r="J60" s="481"/>
      <c r="K60" s="487"/>
      <c r="L60" s="487"/>
      <c r="M60" s="487"/>
      <c r="N60" s="487"/>
      <c r="O60" s="415">
        <f t="shared" si="8"/>
        <v>0</v>
      </c>
      <c r="P60" s="412">
        <f t="shared" si="9"/>
        <v>0</v>
      </c>
      <c r="Q60" s="473" t="e">
        <f t="shared" si="10"/>
        <v>#DIV/0!</v>
      </c>
      <c r="R60" s="413" t="e">
        <f t="shared" si="11"/>
        <v>#DIV/0!</v>
      </c>
      <c r="S60" s="473" t="e">
        <f t="shared" si="12"/>
        <v>#DIV/0!</v>
      </c>
      <c r="T60" s="414" t="e">
        <f t="shared" si="13"/>
        <v>#DIV/0!</v>
      </c>
    </row>
    <row r="61" spans="1:20" x14ac:dyDescent="0.2">
      <c r="A61" s="479"/>
      <c r="B61" s="480"/>
      <c r="C61" s="422"/>
      <c r="D61" s="481"/>
      <c r="E61" s="480"/>
      <c r="F61" s="411">
        <f t="shared" si="0"/>
        <v>0</v>
      </c>
      <c r="G61" s="411">
        <f t="shared" si="1"/>
        <v>0</v>
      </c>
      <c r="H61" s="480"/>
      <c r="I61" s="486"/>
      <c r="J61" s="481"/>
      <c r="K61" s="487"/>
      <c r="L61" s="487"/>
      <c r="M61" s="487"/>
      <c r="N61" s="487"/>
      <c r="O61" s="415">
        <f t="shared" si="8"/>
        <v>0</v>
      </c>
      <c r="P61" s="412">
        <f t="shared" si="9"/>
        <v>0</v>
      </c>
      <c r="Q61" s="473" t="e">
        <f t="shared" si="10"/>
        <v>#DIV/0!</v>
      </c>
      <c r="R61" s="413" t="e">
        <f t="shared" si="11"/>
        <v>#DIV/0!</v>
      </c>
      <c r="S61" s="473" t="e">
        <f t="shared" si="12"/>
        <v>#DIV/0!</v>
      </c>
      <c r="T61" s="414" t="e">
        <f t="shared" si="13"/>
        <v>#DIV/0!</v>
      </c>
    </row>
    <row r="62" spans="1:20" x14ac:dyDescent="0.2">
      <c r="A62" s="479"/>
      <c r="B62" s="480"/>
      <c r="C62" s="422"/>
      <c r="D62" s="481"/>
      <c r="E62" s="480"/>
      <c r="F62" s="411">
        <f t="shared" si="0"/>
        <v>0</v>
      </c>
      <c r="G62" s="411">
        <f t="shared" si="1"/>
        <v>0</v>
      </c>
      <c r="H62" s="480"/>
      <c r="I62" s="486"/>
      <c r="J62" s="481"/>
      <c r="K62" s="487"/>
      <c r="L62" s="487"/>
      <c r="M62" s="487"/>
      <c r="N62" s="487"/>
      <c r="O62" s="415">
        <f t="shared" si="8"/>
        <v>0</v>
      </c>
      <c r="P62" s="412">
        <f t="shared" si="9"/>
        <v>0</v>
      </c>
      <c r="Q62" s="473" t="e">
        <f t="shared" si="10"/>
        <v>#DIV/0!</v>
      </c>
      <c r="R62" s="413" t="e">
        <f t="shared" si="11"/>
        <v>#DIV/0!</v>
      </c>
      <c r="S62" s="473" t="e">
        <f t="shared" si="12"/>
        <v>#DIV/0!</v>
      </c>
      <c r="T62" s="414" t="e">
        <f t="shared" si="13"/>
        <v>#DIV/0!</v>
      </c>
    </row>
    <row r="63" spans="1:20" x14ac:dyDescent="0.2">
      <c r="A63" s="479"/>
      <c r="B63" s="480"/>
      <c r="C63" s="422"/>
      <c r="D63" s="481"/>
      <c r="E63" s="480"/>
      <c r="F63" s="411">
        <f t="shared" si="0"/>
        <v>0</v>
      </c>
      <c r="G63" s="411">
        <f t="shared" si="1"/>
        <v>0</v>
      </c>
      <c r="H63" s="480"/>
      <c r="I63" s="486"/>
      <c r="J63" s="481"/>
      <c r="K63" s="487"/>
      <c r="L63" s="487"/>
      <c r="M63" s="487"/>
      <c r="N63" s="487"/>
      <c r="O63" s="415">
        <f t="shared" si="8"/>
        <v>0</v>
      </c>
      <c r="P63" s="412">
        <f t="shared" si="9"/>
        <v>0</v>
      </c>
      <c r="Q63" s="473" t="e">
        <f t="shared" si="10"/>
        <v>#DIV/0!</v>
      </c>
      <c r="R63" s="413" t="e">
        <f t="shared" si="11"/>
        <v>#DIV/0!</v>
      </c>
      <c r="S63" s="473" t="e">
        <f t="shared" si="12"/>
        <v>#DIV/0!</v>
      </c>
      <c r="T63" s="414" t="e">
        <f t="shared" si="13"/>
        <v>#DIV/0!</v>
      </c>
    </row>
    <row r="64" spans="1:20" x14ac:dyDescent="0.2">
      <c r="A64" s="479"/>
      <c r="B64" s="480"/>
      <c r="C64" s="422"/>
      <c r="D64" s="481"/>
      <c r="E64" s="480"/>
      <c r="F64" s="411">
        <f t="shared" si="0"/>
        <v>0</v>
      </c>
      <c r="G64" s="411">
        <f t="shared" si="1"/>
        <v>0</v>
      </c>
      <c r="H64" s="480"/>
      <c r="I64" s="486"/>
      <c r="J64" s="481"/>
      <c r="K64" s="487"/>
      <c r="L64" s="487"/>
      <c r="M64" s="487"/>
      <c r="N64" s="487"/>
      <c r="O64" s="415">
        <f t="shared" si="8"/>
        <v>0</v>
      </c>
      <c r="P64" s="412">
        <f t="shared" si="9"/>
        <v>0</v>
      </c>
      <c r="Q64" s="473" t="e">
        <f t="shared" si="10"/>
        <v>#DIV/0!</v>
      </c>
      <c r="R64" s="413" t="e">
        <f t="shared" si="11"/>
        <v>#DIV/0!</v>
      </c>
      <c r="S64" s="473" t="e">
        <f t="shared" si="12"/>
        <v>#DIV/0!</v>
      </c>
      <c r="T64" s="414" t="e">
        <f t="shared" si="13"/>
        <v>#DIV/0!</v>
      </c>
    </row>
    <row r="65" spans="1:20" x14ac:dyDescent="0.2">
      <c r="A65" s="479"/>
      <c r="B65" s="480"/>
      <c r="C65" s="422"/>
      <c r="D65" s="481"/>
      <c r="E65" s="480"/>
      <c r="F65" s="411">
        <f t="shared" si="0"/>
        <v>0</v>
      </c>
      <c r="G65" s="411">
        <f t="shared" si="1"/>
        <v>0</v>
      </c>
      <c r="H65" s="480"/>
      <c r="I65" s="486"/>
      <c r="J65" s="481"/>
      <c r="K65" s="487"/>
      <c r="L65" s="487"/>
      <c r="M65" s="487"/>
      <c r="N65" s="487"/>
      <c r="O65" s="415">
        <f t="shared" si="8"/>
        <v>0</v>
      </c>
      <c r="P65" s="412">
        <f t="shared" si="9"/>
        <v>0</v>
      </c>
      <c r="Q65" s="473" t="e">
        <f t="shared" si="10"/>
        <v>#DIV/0!</v>
      </c>
      <c r="R65" s="413" t="e">
        <f t="shared" si="11"/>
        <v>#DIV/0!</v>
      </c>
      <c r="S65" s="473" t="e">
        <f t="shared" si="12"/>
        <v>#DIV/0!</v>
      </c>
      <c r="T65" s="414" t="e">
        <f t="shared" si="13"/>
        <v>#DIV/0!</v>
      </c>
    </row>
    <row r="66" spans="1:20" x14ac:dyDescent="0.2">
      <c r="A66" s="479"/>
      <c r="B66" s="480"/>
      <c r="C66" s="422"/>
      <c r="D66" s="481"/>
      <c r="E66" s="480"/>
      <c r="F66" s="411">
        <f t="shared" si="0"/>
        <v>0</v>
      </c>
      <c r="G66" s="411">
        <f t="shared" si="1"/>
        <v>0</v>
      </c>
      <c r="H66" s="480"/>
      <c r="I66" s="486"/>
      <c r="J66" s="481"/>
      <c r="K66" s="487"/>
      <c r="L66" s="487"/>
      <c r="M66" s="487"/>
      <c r="N66" s="487"/>
      <c r="O66" s="415">
        <f t="shared" si="8"/>
        <v>0</v>
      </c>
      <c r="P66" s="412">
        <f t="shared" si="9"/>
        <v>0</v>
      </c>
      <c r="Q66" s="473" t="e">
        <f t="shared" si="10"/>
        <v>#DIV/0!</v>
      </c>
      <c r="R66" s="413" t="e">
        <f t="shared" si="11"/>
        <v>#DIV/0!</v>
      </c>
      <c r="S66" s="473" t="e">
        <f t="shared" si="12"/>
        <v>#DIV/0!</v>
      </c>
      <c r="T66" s="414" t="e">
        <f t="shared" si="13"/>
        <v>#DIV/0!</v>
      </c>
    </row>
    <row r="67" spans="1:20" x14ac:dyDescent="0.2">
      <c r="A67" s="479"/>
      <c r="B67" s="480"/>
      <c r="C67" s="422"/>
      <c r="D67" s="481"/>
      <c r="E67" s="480"/>
      <c r="F67" s="411">
        <f t="shared" si="0"/>
        <v>0</v>
      </c>
      <c r="G67" s="411">
        <f t="shared" si="1"/>
        <v>0</v>
      </c>
      <c r="H67" s="480"/>
      <c r="I67" s="486"/>
      <c r="J67" s="481"/>
      <c r="K67" s="487"/>
      <c r="L67" s="487"/>
      <c r="M67" s="487"/>
      <c r="N67" s="487"/>
      <c r="O67" s="415">
        <f t="shared" si="8"/>
        <v>0</v>
      </c>
      <c r="P67" s="412">
        <f t="shared" si="9"/>
        <v>0</v>
      </c>
      <c r="Q67" s="473" t="e">
        <f t="shared" si="10"/>
        <v>#DIV/0!</v>
      </c>
      <c r="R67" s="413" t="e">
        <f t="shared" si="11"/>
        <v>#DIV/0!</v>
      </c>
      <c r="S67" s="473" t="e">
        <f t="shared" si="12"/>
        <v>#DIV/0!</v>
      </c>
      <c r="T67" s="414" t="e">
        <f t="shared" si="13"/>
        <v>#DIV/0!</v>
      </c>
    </row>
    <row r="68" spans="1:20" x14ac:dyDescent="0.2">
      <c r="A68" s="479"/>
      <c r="B68" s="480"/>
      <c r="C68" s="422"/>
      <c r="D68" s="481"/>
      <c r="E68" s="480"/>
      <c r="F68" s="411">
        <f t="shared" si="0"/>
        <v>0</v>
      </c>
      <c r="G68" s="411">
        <f t="shared" si="1"/>
        <v>0</v>
      </c>
      <c r="H68" s="480"/>
      <c r="I68" s="486"/>
      <c r="J68" s="481"/>
      <c r="K68" s="487"/>
      <c r="L68" s="487"/>
      <c r="M68" s="487"/>
      <c r="N68" s="487"/>
      <c r="O68" s="415">
        <f t="shared" si="8"/>
        <v>0</v>
      </c>
      <c r="P68" s="412">
        <f t="shared" si="9"/>
        <v>0</v>
      </c>
      <c r="Q68" s="473" t="e">
        <f t="shared" si="10"/>
        <v>#DIV/0!</v>
      </c>
      <c r="R68" s="413" t="e">
        <f t="shared" si="11"/>
        <v>#DIV/0!</v>
      </c>
      <c r="S68" s="473" t="e">
        <f t="shared" si="12"/>
        <v>#DIV/0!</v>
      </c>
      <c r="T68" s="414" t="e">
        <f t="shared" si="13"/>
        <v>#DIV/0!</v>
      </c>
    </row>
    <row r="69" spans="1:20" x14ac:dyDescent="0.2">
      <c r="A69" s="479"/>
      <c r="B69" s="480"/>
      <c r="C69" s="422"/>
      <c r="D69" s="481"/>
      <c r="E69" s="480"/>
      <c r="F69" s="411">
        <f t="shared" si="0"/>
        <v>0</v>
      </c>
      <c r="G69" s="411">
        <f t="shared" si="1"/>
        <v>0</v>
      </c>
      <c r="H69" s="480"/>
      <c r="I69" s="486"/>
      <c r="J69" s="481"/>
      <c r="K69" s="487"/>
      <c r="L69" s="487"/>
      <c r="M69" s="487"/>
      <c r="N69" s="487"/>
      <c r="O69" s="415">
        <f t="shared" si="8"/>
        <v>0</v>
      </c>
      <c r="P69" s="412">
        <f t="shared" si="9"/>
        <v>0</v>
      </c>
      <c r="Q69" s="473" t="e">
        <f t="shared" si="10"/>
        <v>#DIV/0!</v>
      </c>
      <c r="R69" s="413" t="e">
        <f t="shared" si="11"/>
        <v>#DIV/0!</v>
      </c>
      <c r="S69" s="473" t="e">
        <f t="shared" si="12"/>
        <v>#DIV/0!</v>
      </c>
      <c r="T69" s="414" t="e">
        <f t="shared" si="13"/>
        <v>#DIV/0!</v>
      </c>
    </row>
    <row r="70" spans="1:20" x14ac:dyDescent="0.2">
      <c r="A70" s="479"/>
      <c r="B70" s="480"/>
      <c r="C70" s="422"/>
      <c r="D70" s="481"/>
      <c r="E70" s="480"/>
      <c r="F70" s="411">
        <f t="shared" si="0"/>
        <v>0</v>
      </c>
      <c r="G70" s="411">
        <f t="shared" si="1"/>
        <v>0</v>
      </c>
      <c r="H70" s="480"/>
      <c r="I70" s="486"/>
      <c r="J70" s="481"/>
      <c r="K70" s="487"/>
      <c r="L70" s="487"/>
      <c r="M70" s="487"/>
      <c r="N70" s="487"/>
      <c r="O70" s="415">
        <f t="shared" si="8"/>
        <v>0</v>
      </c>
      <c r="P70" s="412">
        <f t="shared" si="9"/>
        <v>0</v>
      </c>
      <c r="Q70" s="473" t="e">
        <f t="shared" si="10"/>
        <v>#DIV/0!</v>
      </c>
      <c r="R70" s="413" t="e">
        <f t="shared" si="11"/>
        <v>#DIV/0!</v>
      </c>
      <c r="S70" s="473" t="e">
        <f t="shared" si="12"/>
        <v>#DIV/0!</v>
      </c>
      <c r="T70" s="414" t="e">
        <f t="shared" si="13"/>
        <v>#DIV/0!</v>
      </c>
    </row>
    <row r="71" spans="1:20" x14ac:dyDescent="0.2">
      <c r="A71" s="479"/>
      <c r="B71" s="480"/>
      <c r="C71" s="422"/>
      <c r="D71" s="481"/>
      <c r="E71" s="480"/>
      <c r="F71" s="411">
        <f t="shared" si="0"/>
        <v>0</v>
      </c>
      <c r="G71" s="411">
        <f t="shared" si="1"/>
        <v>0</v>
      </c>
      <c r="H71" s="480"/>
      <c r="I71" s="486"/>
      <c r="J71" s="481"/>
      <c r="K71" s="487"/>
      <c r="L71" s="487"/>
      <c r="M71" s="487"/>
      <c r="N71" s="487"/>
      <c r="O71" s="415">
        <f t="shared" si="8"/>
        <v>0</v>
      </c>
      <c r="P71" s="412">
        <f t="shared" si="9"/>
        <v>0</v>
      </c>
      <c r="Q71" s="473" t="e">
        <f t="shared" si="10"/>
        <v>#DIV/0!</v>
      </c>
      <c r="R71" s="413" t="e">
        <f t="shared" si="11"/>
        <v>#DIV/0!</v>
      </c>
      <c r="S71" s="473" t="e">
        <f t="shared" si="12"/>
        <v>#DIV/0!</v>
      </c>
      <c r="T71" s="414" t="e">
        <f t="shared" si="13"/>
        <v>#DIV/0!</v>
      </c>
    </row>
    <row r="72" spans="1:20" x14ac:dyDescent="0.2">
      <c r="A72" s="479"/>
      <c r="B72" s="480"/>
      <c r="C72" s="422"/>
      <c r="D72" s="481"/>
      <c r="E72" s="480"/>
      <c r="F72" s="411">
        <f t="shared" ref="F72:F101" si="14">D72-E72</f>
        <v>0</v>
      </c>
      <c r="G72" s="411">
        <f t="shared" ref="G72:G101" si="15">F72*B72</f>
        <v>0</v>
      </c>
      <c r="H72" s="480"/>
      <c r="I72" s="486"/>
      <c r="J72" s="481"/>
      <c r="K72" s="487"/>
      <c r="L72" s="487"/>
      <c r="M72" s="487"/>
      <c r="N72" s="487"/>
      <c r="O72" s="415">
        <f t="shared" si="8"/>
        <v>0</v>
      </c>
      <c r="P72" s="412">
        <f t="shared" si="9"/>
        <v>0</v>
      </c>
      <c r="Q72" s="473" t="e">
        <f t="shared" si="10"/>
        <v>#DIV/0!</v>
      </c>
      <c r="R72" s="413" t="e">
        <f t="shared" si="11"/>
        <v>#DIV/0!</v>
      </c>
      <c r="S72" s="473" t="e">
        <f t="shared" si="12"/>
        <v>#DIV/0!</v>
      </c>
      <c r="T72" s="414" t="e">
        <f t="shared" si="13"/>
        <v>#DIV/0!</v>
      </c>
    </row>
    <row r="73" spans="1:20" x14ac:dyDescent="0.2">
      <c r="A73" s="479"/>
      <c r="B73" s="480"/>
      <c r="C73" s="422"/>
      <c r="D73" s="481"/>
      <c r="E73" s="480"/>
      <c r="F73" s="411">
        <f t="shared" si="14"/>
        <v>0</v>
      </c>
      <c r="G73" s="411">
        <f t="shared" si="15"/>
        <v>0</v>
      </c>
      <c r="H73" s="480"/>
      <c r="I73" s="486"/>
      <c r="J73" s="481"/>
      <c r="K73" s="487"/>
      <c r="L73" s="487"/>
      <c r="M73" s="487"/>
      <c r="N73" s="487"/>
      <c r="O73" s="415">
        <f t="shared" si="8"/>
        <v>0</v>
      </c>
      <c r="P73" s="412">
        <f t="shared" si="9"/>
        <v>0</v>
      </c>
      <c r="Q73" s="473" t="e">
        <f t="shared" si="10"/>
        <v>#DIV/0!</v>
      </c>
      <c r="R73" s="413" t="e">
        <f t="shared" si="11"/>
        <v>#DIV/0!</v>
      </c>
      <c r="S73" s="473" t="e">
        <f t="shared" si="12"/>
        <v>#DIV/0!</v>
      </c>
      <c r="T73" s="414" t="e">
        <f t="shared" si="13"/>
        <v>#DIV/0!</v>
      </c>
    </row>
    <row r="74" spans="1:20" x14ac:dyDescent="0.2">
      <c r="A74" s="479"/>
      <c r="B74" s="480"/>
      <c r="C74" s="422"/>
      <c r="D74" s="481"/>
      <c r="E74" s="480"/>
      <c r="F74" s="411">
        <f t="shared" si="14"/>
        <v>0</v>
      </c>
      <c r="G74" s="411">
        <f t="shared" si="15"/>
        <v>0</v>
      </c>
      <c r="H74" s="480"/>
      <c r="I74" s="486"/>
      <c r="J74" s="481"/>
      <c r="K74" s="487"/>
      <c r="L74" s="487"/>
      <c r="M74" s="487"/>
      <c r="N74" s="487"/>
      <c r="O74" s="415">
        <f t="shared" si="8"/>
        <v>0</v>
      </c>
      <c r="P74" s="412">
        <f t="shared" si="9"/>
        <v>0</v>
      </c>
      <c r="Q74" s="473" t="e">
        <f t="shared" si="10"/>
        <v>#DIV/0!</v>
      </c>
      <c r="R74" s="413" t="e">
        <f t="shared" si="11"/>
        <v>#DIV/0!</v>
      </c>
      <c r="S74" s="473" t="e">
        <f t="shared" si="12"/>
        <v>#DIV/0!</v>
      </c>
      <c r="T74" s="414" t="e">
        <f t="shared" si="13"/>
        <v>#DIV/0!</v>
      </c>
    </row>
    <row r="75" spans="1:20" x14ac:dyDescent="0.2">
      <c r="A75" s="479"/>
      <c r="B75" s="480"/>
      <c r="C75" s="422"/>
      <c r="D75" s="481"/>
      <c r="E75" s="480"/>
      <c r="F75" s="411">
        <f t="shared" si="14"/>
        <v>0</v>
      </c>
      <c r="G75" s="411">
        <f t="shared" si="15"/>
        <v>0</v>
      </c>
      <c r="H75" s="480"/>
      <c r="I75" s="486"/>
      <c r="J75" s="481"/>
      <c r="K75" s="487"/>
      <c r="L75" s="487"/>
      <c r="M75" s="487"/>
      <c r="N75" s="487"/>
      <c r="O75" s="415">
        <f t="shared" si="8"/>
        <v>0</v>
      </c>
      <c r="P75" s="412">
        <f t="shared" si="9"/>
        <v>0</v>
      </c>
      <c r="Q75" s="473" t="e">
        <f t="shared" si="10"/>
        <v>#DIV/0!</v>
      </c>
      <c r="R75" s="413" t="e">
        <f t="shared" si="11"/>
        <v>#DIV/0!</v>
      </c>
      <c r="S75" s="473" t="e">
        <f t="shared" si="12"/>
        <v>#DIV/0!</v>
      </c>
      <c r="T75" s="414" t="e">
        <f t="shared" si="13"/>
        <v>#DIV/0!</v>
      </c>
    </row>
    <row r="76" spans="1:20" x14ac:dyDescent="0.2">
      <c r="A76" s="479"/>
      <c r="B76" s="480"/>
      <c r="C76" s="422"/>
      <c r="D76" s="481"/>
      <c r="E76" s="480"/>
      <c r="F76" s="411">
        <f t="shared" si="14"/>
        <v>0</v>
      </c>
      <c r="G76" s="411">
        <f t="shared" si="15"/>
        <v>0</v>
      </c>
      <c r="H76" s="480"/>
      <c r="I76" s="486"/>
      <c r="J76" s="481"/>
      <c r="K76" s="487"/>
      <c r="L76" s="487"/>
      <c r="M76" s="487"/>
      <c r="N76" s="487"/>
      <c r="O76" s="415">
        <f t="shared" si="8"/>
        <v>0</v>
      </c>
      <c r="P76" s="412">
        <f t="shared" si="9"/>
        <v>0</v>
      </c>
      <c r="Q76" s="473" t="e">
        <f t="shared" si="10"/>
        <v>#DIV/0!</v>
      </c>
      <c r="R76" s="413" t="e">
        <f t="shared" si="11"/>
        <v>#DIV/0!</v>
      </c>
      <c r="S76" s="473" t="e">
        <f t="shared" si="12"/>
        <v>#DIV/0!</v>
      </c>
      <c r="T76" s="414" t="e">
        <f t="shared" si="13"/>
        <v>#DIV/0!</v>
      </c>
    </row>
    <row r="77" spans="1:20" x14ac:dyDescent="0.2">
      <c r="A77" s="479"/>
      <c r="B77" s="480"/>
      <c r="C77" s="422"/>
      <c r="D77" s="481"/>
      <c r="E77" s="480"/>
      <c r="F77" s="411">
        <f t="shared" si="14"/>
        <v>0</v>
      </c>
      <c r="G77" s="411">
        <f t="shared" si="15"/>
        <v>0</v>
      </c>
      <c r="H77" s="480"/>
      <c r="I77" s="486"/>
      <c r="J77" s="481"/>
      <c r="K77" s="487"/>
      <c r="L77" s="487"/>
      <c r="M77" s="487"/>
      <c r="N77" s="487"/>
      <c r="O77" s="415">
        <f t="shared" ref="O77:O101" si="16">SUM(K77:N77)</f>
        <v>0</v>
      </c>
      <c r="P77" s="412">
        <f t="shared" ref="P77:P101" si="17">J77*O77</f>
        <v>0</v>
      </c>
      <c r="Q77" s="473" t="e">
        <f t="shared" ref="Q77:Q101" si="18">G77/P77</f>
        <v>#DIV/0!</v>
      </c>
      <c r="R77" s="413" t="e">
        <f t="shared" ref="R77:R101" si="19">(Q77*H77)</f>
        <v>#DIV/0!</v>
      </c>
      <c r="S77" s="473" t="e">
        <f t="shared" ref="S77:S101" si="20">R77/P77</f>
        <v>#DIV/0!</v>
      </c>
      <c r="T77" s="414" t="e">
        <f t="shared" ref="T77:T101" si="21">Q77+S77</f>
        <v>#DIV/0!</v>
      </c>
    </row>
    <row r="78" spans="1:20" x14ac:dyDescent="0.2">
      <c r="A78" s="479"/>
      <c r="B78" s="480"/>
      <c r="C78" s="422"/>
      <c r="D78" s="481"/>
      <c r="E78" s="480"/>
      <c r="F78" s="411">
        <f t="shared" si="14"/>
        <v>0</v>
      </c>
      <c r="G78" s="411">
        <f t="shared" si="15"/>
        <v>0</v>
      </c>
      <c r="H78" s="480"/>
      <c r="I78" s="486"/>
      <c r="J78" s="481"/>
      <c r="K78" s="487"/>
      <c r="L78" s="487"/>
      <c r="M78" s="487"/>
      <c r="N78" s="487"/>
      <c r="O78" s="415">
        <f t="shared" si="16"/>
        <v>0</v>
      </c>
      <c r="P78" s="412">
        <f t="shared" si="17"/>
        <v>0</v>
      </c>
      <c r="Q78" s="473" t="e">
        <f t="shared" si="18"/>
        <v>#DIV/0!</v>
      </c>
      <c r="R78" s="413" t="e">
        <f t="shared" si="19"/>
        <v>#DIV/0!</v>
      </c>
      <c r="S78" s="473" t="e">
        <f t="shared" si="20"/>
        <v>#DIV/0!</v>
      </c>
      <c r="T78" s="414" t="e">
        <f t="shared" si="21"/>
        <v>#DIV/0!</v>
      </c>
    </row>
    <row r="79" spans="1:20" x14ac:dyDescent="0.2">
      <c r="A79" s="479"/>
      <c r="B79" s="480"/>
      <c r="C79" s="422"/>
      <c r="D79" s="481"/>
      <c r="E79" s="480"/>
      <c r="F79" s="411">
        <f t="shared" si="14"/>
        <v>0</v>
      </c>
      <c r="G79" s="411">
        <f t="shared" si="15"/>
        <v>0</v>
      </c>
      <c r="H79" s="480"/>
      <c r="I79" s="486"/>
      <c r="J79" s="481"/>
      <c r="K79" s="487"/>
      <c r="L79" s="487"/>
      <c r="M79" s="487"/>
      <c r="N79" s="487"/>
      <c r="O79" s="415">
        <f t="shared" si="16"/>
        <v>0</v>
      </c>
      <c r="P79" s="412">
        <f t="shared" si="17"/>
        <v>0</v>
      </c>
      <c r="Q79" s="473" t="e">
        <f t="shared" si="18"/>
        <v>#DIV/0!</v>
      </c>
      <c r="R79" s="413" t="e">
        <f t="shared" si="19"/>
        <v>#DIV/0!</v>
      </c>
      <c r="S79" s="473" t="e">
        <f t="shared" si="20"/>
        <v>#DIV/0!</v>
      </c>
      <c r="T79" s="414" t="e">
        <f t="shared" si="21"/>
        <v>#DIV/0!</v>
      </c>
    </row>
    <row r="80" spans="1:20" x14ac:dyDescent="0.2">
      <c r="A80" s="479"/>
      <c r="B80" s="480"/>
      <c r="C80" s="422"/>
      <c r="D80" s="481"/>
      <c r="E80" s="480"/>
      <c r="F80" s="411">
        <f t="shared" si="14"/>
        <v>0</v>
      </c>
      <c r="G80" s="411">
        <f t="shared" si="15"/>
        <v>0</v>
      </c>
      <c r="H80" s="480"/>
      <c r="I80" s="486"/>
      <c r="J80" s="481"/>
      <c r="K80" s="487"/>
      <c r="L80" s="487"/>
      <c r="M80" s="487"/>
      <c r="N80" s="487"/>
      <c r="O80" s="415">
        <f t="shared" si="16"/>
        <v>0</v>
      </c>
      <c r="P80" s="412">
        <f t="shared" si="17"/>
        <v>0</v>
      </c>
      <c r="Q80" s="473" t="e">
        <f t="shared" si="18"/>
        <v>#DIV/0!</v>
      </c>
      <c r="R80" s="413" t="e">
        <f t="shared" si="19"/>
        <v>#DIV/0!</v>
      </c>
      <c r="S80" s="473" t="e">
        <f t="shared" si="20"/>
        <v>#DIV/0!</v>
      </c>
      <c r="T80" s="414" t="e">
        <f t="shared" si="21"/>
        <v>#DIV/0!</v>
      </c>
    </row>
    <row r="81" spans="1:20" x14ac:dyDescent="0.2">
      <c r="A81" s="479"/>
      <c r="B81" s="480"/>
      <c r="C81" s="422"/>
      <c r="D81" s="481"/>
      <c r="E81" s="480"/>
      <c r="F81" s="411">
        <f t="shared" si="14"/>
        <v>0</v>
      </c>
      <c r="G81" s="411">
        <f t="shared" si="15"/>
        <v>0</v>
      </c>
      <c r="H81" s="480"/>
      <c r="I81" s="486"/>
      <c r="J81" s="481"/>
      <c r="K81" s="487"/>
      <c r="L81" s="487"/>
      <c r="M81" s="487"/>
      <c r="N81" s="487"/>
      <c r="O81" s="415">
        <f t="shared" si="16"/>
        <v>0</v>
      </c>
      <c r="P81" s="412">
        <f t="shared" si="17"/>
        <v>0</v>
      </c>
      <c r="Q81" s="473" t="e">
        <f t="shared" si="18"/>
        <v>#DIV/0!</v>
      </c>
      <c r="R81" s="413" t="e">
        <f t="shared" si="19"/>
        <v>#DIV/0!</v>
      </c>
      <c r="S81" s="473" t="e">
        <f t="shared" si="20"/>
        <v>#DIV/0!</v>
      </c>
      <c r="T81" s="414" t="e">
        <f t="shared" si="21"/>
        <v>#DIV/0!</v>
      </c>
    </row>
    <row r="82" spans="1:20" x14ac:dyDescent="0.2">
      <c r="A82" s="479"/>
      <c r="B82" s="480"/>
      <c r="C82" s="422"/>
      <c r="D82" s="481"/>
      <c r="E82" s="480"/>
      <c r="F82" s="411">
        <f t="shared" si="14"/>
        <v>0</v>
      </c>
      <c r="G82" s="411">
        <f t="shared" si="15"/>
        <v>0</v>
      </c>
      <c r="H82" s="480"/>
      <c r="I82" s="486"/>
      <c r="J82" s="481"/>
      <c r="K82" s="487"/>
      <c r="L82" s="487"/>
      <c r="M82" s="487"/>
      <c r="N82" s="487"/>
      <c r="O82" s="415">
        <f t="shared" si="16"/>
        <v>0</v>
      </c>
      <c r="P82" s="412">
        <f t="shared" si="17"/>
        <v>0</v>
      </c>
      <c r="Q82" s="473" t="e">
        <f t="shared" si="18"/>
        <v>#DIV/0!</v>
      </c>
      <c r="R82" s="413" t="e">
        <f t="shared" si="19"/>
        <v>#DIV/0!</v>
      </c>
      <c r="S82" s="473" t="e">
        <f t="shared" si="20"/>
        <v>#DIV/0!</v>
      </c>
      <c r="T82" s="414" t="e">
        <f t="shared" si="21"/>
        <v>#DIV/0!</v>
      </c>
    </row>
    <row r="83" spans="1:20" x14ac:dyDescent="0.2">
      <c r="A83" s="479"/>
      <c r="B83" s="480"/>
      <c r="C83" s="422"/>
      <c r="D83" s="481"/>
      <c r="E83" s="480"/>
      <c r="F83" s="411">
        <f t="shared" si="14"/>
        <v>0</v>
      </c>
      <c r="G83" s="411">
        <f t="shared" si="15"/>
        <v>0</v>
      </c>
      <c r="H83" s="480"/>
      <c r="I83" s="486"/>
      <c r="J83" s="481"/>
      <c r="K83" s="487"/>
      <c r="L83" s="487"/>
      <c r="M83" s="487"/>
      <c r="N83" s="487"/>
      <c r="O83" s="415">
        <f t="shared" si="16"/>
        <v>0</v>
      </c>
      <c r="P83" s="412">
        <f t="shared" si="17"/>
        <v>0</v>
      </c>
      <c r="Q83" s="473" t="e">
        <f t="shared" si="18"/>
        <v>#DIV/0!</v>
      </c>
      <c r="R83" s="413" t="e">
        <f t="shared" si="19"/>
        <v>#DIV/0!</v>
      </c>
      <c r="S83" s="473" t="e">
        <f t="shared" si="20"/>
        <v>#DIV/0!</v>
      </c>
      <c r="T83" s="414" t="e">
        <f t="shared" si="21"/>
        <v>#DIV/0!</v>
      </c>
    </row>
    <row r="84" spans="1:20" x14ac:dyDescent="0.2">
      <c r="A84" s="479"/>
      <c r="B84" s="480"/>
      <c r="C84" s="422"/>
      <c r="D84" s="481"/>
      <c r="E84" s="480"/>
      <c r="F84" s="411">
        <f t="shared" si="14"/>
        <v>0</v>
      </c>
      <c r="G84" s="411">
        <f t="shared" si="15"/>
        <v>0</v>
      </c>
      <c r="H84" s="480"/>
      <c r="I84" s="486"/>
      <c r="J84" s="481"/>
      <c r="K84" s="487"/>
      <c r="L84" s="487"/>
      <c r="M84" s="487"/>
      <c r="N84" s="487"/>
      <c r="O84" s="415">
        <f t="shared" si="16"/>
        <v>0</v>
      </c>
      <c r="P84" s="412">
        <f t="shared" si="17"/>
        <v>0</v>
      </c>
      <c r="Q84" s="473" t="e">
        <f t="shared" si="18"/>
        <v>#DIV/0!</v>
      </c>
      <c r="R84" s="413" t="e">
        <f t="shared" si="19"/>
        <v>#DIV/0!</v>
      </c>
      <c r="S84" s="473" t="e">
        <f t="shared" si="20"/>
        <v>#DIV/0!</v>
      </c>
      <c r="T84" s="414" t="e">
        <f t="shared" si="21"/>
        <v>#DIV/0!</v>
      </c>
    </row>
    <row r="85" spans="1:20" x14ac:dyDescent="0.2">
      <c r="A85" s="479"/>
      <c r="B85" s="480"/>
      <c r="C85" s="422"/>
      <c r="D85" s="481"/>
      <c r="E85" s="480"/>
      <c r="F85" s="411">
        <f t="shared" si="14"/>
        <v>0</v>
      </c>
      <c r="G85" s="411">
        <f t="shared" si="15"/>
        <v>0</v>
      </c>
      <c r="H85" s="480"/>
      <c r="I85" s="486"/>
      <c r="J85" s="481"/>
      <c r="K85" s="487"/>
      <c r="L85" s="487"/>
      <c r="M85" s="487"/>
      <c r="N85" s="487"/>
      <c r="O85" s="415">
        <f t="shared" si="16"/>
        <v>0</v>
      </c>
      <c r="P85" s="412">
        <f t="shared" si="17"/>
        <v>0</v>
      </c>
      <c r="Q85" s="473" t="e">
        <f t="shared" si="18"/>
        <v>#DIV/0!</v>
      </c>
      <c r="R85" s="413" t="e">
        <f t="shared" si="19"/>
        <v>#DIV/0!</v>
      </c>
      <c r="S85" s="473" t="e">
        <f t="shared" si="20"/>
        <v>#DIV/0!</v>
      </c>
      <c r="T85" s="414" t="e">
        <f t="shared" si="21"/>
        <v>#DIV/0!</v>
      </c>
    </row>
    <row r="86" spans="1:20" x14ac:dyDescent="0.2">
      <c r="A86" s="479"/>
      <c r="B86" s="480"/>
      <c r="C86" s="422"/>
      <c r="D86" s="481"/>
      <c r="E86" s="480"/>
      <c r="F86" s="411">
        <f t="shared" si="14"/>
        <v>0</v>
      </c>
      <c r="G86" s="411">
        <f t="shared" si="15"/>
        <v>0</v>
      </c>
      <c r="H86" s="480"/>
      <c r="I86" s="486"/>
      <c r="J86" s="481"/>
      <c r="K86" s="487"/>
      <c r="L86" s="487"/>
      <c r="M86" s="487"/>
      <c r="N86" s="487"/>
      <c r="O86" s="415">
        <f t="shared" si="16"/>
        <v>0</v>
      </c>
      <c r="P86" s="412">
        <f t="shared" si="17"/>
        <v>0</v>
      </c>
      <c r="Q86" s="473" t="e">
        <f t="shared" si="18"/>
        <v>#DIV/0!</v>
      </c>
      <c r="R86" s="413" t="e">
        <f t="shared" si="19"/>
        <v>#DIV/0!</v>
      </c>
      <c r="S86" s="473" t="e">
        <f t="shared" si="20"/>
        <v>#DIV/0!</v>
      </c>
      <c r="T86" s="414" t="e">
        <f t="shared" si="21"/>
        <v>#DIV/0!</v>
      </c>
    </row>
    <row r="87" spans="1:20" x14ac:dyDescent="0.2">
      <c r="A87" s="479"/>
      <c r="B87" s="480"/>
      <c r="C87" s="422"/>
      <c r="D87" s="481"/>
      <c r="E87" s="480"/>
      <c r="F87" s="411">
        <f t="shared" si="14"/>
        <v>0</v>
      </c>
      <c r="G87" s="411">
        <f t="shared" si="15"/>
        <v>0</v>
      </c>
      <c r="H87" s="480"/>
      <c r="I87" s="486"/>
      <c r="J87" s="481"/>
      <c r="K87" s="487"/>
      <c r="L87" s="487"/>
      <c r="M87" s="487"/>
      <c r="N87" s="487"/>
      <c r="O87" s="415">
        <f t="shared" si="16"/>
        <v>0</v>
      </c>
      <c r="P87" s="412">
        <f t="shared" si="17"/>
        <v>0</v>
      </c>
      <c r="Q87" s="473" t="e">
        <f t="shared" si="18"/>
        <v>#DIV/0!</v>
      </c>
      <c r="R87" s="413" t="e">
        <f t="shared" si="19"/>
        <v>#DIV/0!</v>
      </c>
      <c r="S87" s="473" t="e">
        <f t="shared" si="20"/>
        <v>#DIV/0!</v>
      </c>
      <c r="T87" s="414" t="e">
        <f t="shared" si="21"/>
        <v>#DIV/0!</v>
      </c>
    </row>
    <row r="88" spans="1:20" x14ac:dyDescent="0.2">
      <c r="A88" s="479"/>
      <c r="B88" s="480"/>
      <c r="C88" s="422"/>
      <c r="D88" s="481"/>
      <c r="E88" s="480"/>
      <c r="F88" s="411">
        <f t="shared" si="14"/>
        <v>0</v>
      </c>
      <c r="G88" s="411">
        <f t="shared" si="15"/>
        <v>0</v>
      </c>
      <c r="H88" s="480"/>
      <c r="I88" s="486"/>
      <c r="J88" s="481"/>
      <c r="K88" s="487"/>
      <c r="L88" s="487"/>
      <c r="M88" s="487"/>
      <c r="N88" s="487"/>
      <c r="O88" s="415">
        <f t="shared" si="16"/>
        <v>0</v>
      </c>
      <c r="P88" s="412">
        <f t="shared" si="17"/>
        <v>0</v>
      </c>
      <c r="Q88" s="473" t="e">
        <f t="shared" si="18"/>
        <v>#DIV/0!</v>
      </c>
      <c r="R88" s="413" t="e">
        <f t="shared" si="19"/>
        <v>#DIV/0!</v>
      </c>
      <c r="S88" s="473" t="e">
        <f t="shared" si="20"/>
        <v>#DIV/0!</v>
      </c>
      <c r="T88" s="414" t="e">
        <f t="shared" si="21"/>
        <v>#DIV/0!</v>
      </c>
    </row>
    <row r="89" spans="1:20" x14ac:dyDescent="0.2">
      <c r="A89" s="479"/>
      <c r="B89" s="480"/>
      <c r="C89" s="422"/>
      <c r="D89" s="481"/>
      <c r="E89" s="480"/>
      <c r="F89" s="411">
        <f t="shared" si="14"/>
        <v>0</v>
      </c>
      <c r="G89" s="411">
        <f t="shared" si="15"/>
        <v>0</v>
      </c>
      <c r="H89" s="480"/>
      <c r="I89" s="486"/>
      <c r="J89" s="481"/>
      <c r="K89" s="487"/>
      <c r="L89" s="487"/>
      <c r="M89" s="487"/>
      <c r="N89" s="487"/>
      <c r="O89" s="415">
        <f t="shared" si="16"/>
        <v>0</v>
      </c>
      <c r="P89" s="412">
        <f t="shared" si="17"/>
        <v>0</v>
      </c>
      <c r="Q89" s="473" t="e">
        <f t="shared" si="18"/>
        <v>#DIV/0!</v>
      </c>
      <c r="R89" s="413" t="e">
        <f t="shared" si="19"/>
        <v>#DIV/0!</v>
      </c>
      <c r="S89" s="473" t="e">
        <f t="shared" si="20"/>
        <v>#DIV/0!</v>
      </c>
      <c r="T89" s="414" t="e">
        <f t="shared" si="21"/>
        <v>#DIV/0!</v>
      </c>
    </row>
    <row r="90" spans="1:20" x14ac:dyDescent="0.2">
      <c r="A90" s="479"/>
      <c r="B90" s="480"/>
      <c r="C90" s="422"/>
      <c r="D90" s="481"/>
      <c r="E90" s="480"/>
      <c r="F90" s="411">
        <f t="shared" si="14"/>
        <v>0</v>
      </c>
      <c r="G90" s="411">
        <f t="shared" si="15"/>
        <v>0</v>
      </c>
      <c r="H90" s="480"/>
      <c r="I90" s="486"/>
      <c r="J90" s="481"/>
      <c r="K90" s="487"/>
      <c r="L90" s="487"/>
      <c r="M90" s="487"/>
      <c r="N90" s="487"/>
      <c r="O90" s="415">
        <f t="shared" si="16"/>
        <v>0</v>
      </c>
      <c r="P90" s="412">
        <f t="shared" si="17"/>
        <v>0</v>
      </c>
      <c r="Q90" s="473" t="e">
        <f t="shared" si="18"/>
        <v>#DIV/0!</v>
      </c>
      <c r="R90" s="413" t="e">
        <f t="shared" si="19"/>
        <v>#DIV/0!</v>
      </c>
      <c r="S90" s="473" t="e">
        <f t="shared" si="20"/>
        <v>#DIV/0!</v>
      </c>
      <c r="T90" s="414" t="e">
        <f t="shared" si="21"/>
        <v>#DIV/0!</v>
      </c>
    </row>
    <row r="91" spans="1:20" x14ac:dyDescent="0.2">
      <c r="A91" s="479"/>
      <c r="B91" s="480"/>
      <c r="C91" s="422"/>
      <c r="D91" s="481"/>
      <c r="E91" s="480"/>
      <c r="F91" s="411">
        <f t="shared" si="14"/>
        <v>0</v>
      </c>
      <c r="G91" s="411">
        <f t="shared" si="15"/>
        <v>0</v>
      </c>
      <c r="H91" s="480"/>
      <c r="I91" s="486"/>
      <c r="J91" s="481"/>
      <c r="K91" s="487"/>
      <c r="L91" s="487"/>
      <c r="M91" s="487"/>
      <c r="N91" s="487"/>
      <c r="O91" s="415">
        <f t="shared" si="16"/>
        <v>0</v>
      </c>
      <c r="P91" s="412">
        <f t="shared" si="17"/>
        <v>0</v>
      </c>
      <c r="Q91" s="473" t="e">
        <f t="shared" si="18"/>
        <v>#DIV/0!</v>
      </c>
      <c r="R91" s="413" t="e">
        <f t="shared" si="19"/>
        <v>#DIV/0!</v>
      </c>
      <c r="S91" s="473" t="e">
        <f t="shared" si="20"/>
        <v>#DIV/0!</v>
      </c>
      <c r="T91" s="414" t="e">
        <f t="shared" si="21"/>
        <v>#DIV/0!</v>
      </c>
    </row>
    <row r="92" spans="1:20" x14ac:dyDescent="0.2">
      <c r="A92" s="479"/>
      <c r="B92" s="480"/>
      <c r="C92" s="422"/>
      <c r="D92" s="481"/>
      <c r="E92" s="480"/>
      <c r="F92" s="411">
        <f t="shared" si="14"/>
        <v>0</v>
      </c>
      <c r="G92" s="411">
        <f t="shared" si="15"/>
        <v>0</v>
      </c>
      <c r="H92" s="480"/>
      <c r="I92" s="486"/>
      <c r="J92" s="481"/>
      <c r="K92" s="487"/>
      <c r="L92" s="487"/>
      <c r="M92" s="487"/>
      <c r="N92" s="487"/>
      <c r="O92" s="415">
        <f t="shared" si="16"/>
        <v>0</v>
      </c>
      <c r="P92" s="412">
        <f t="shared" si="17"/>
        <v>0</v>
      </c>
      <c r="Q92" s="473" t="e">
        <f t="shared" si="18"/>
        <v>#DIV/0!</v>
      </c>
      <c r="R92" s="413" t="e">
        <f t="shared" si="19"/>
        <v>#DIV/0!</v>
      </c>
      <c r="S92" s="473" t="e">
        <f t="shared" si="20"/>
        <v>#DIV/0!</v>
      </c>
      <c r="T92" s="414" t="e">
        <f t="shared" si="21"/>
        <v>#DIV/0!</v>
      </c>
    </row>
    <row r="93" spans="1:20" x14ac:dyDescent="0.2">
      <c r="A93" s="479"/>
      <c r="B93" s="480"/>
      <c r="C93" s="422"/>
      <c r="D93" s="481"/>
      <c r="E93" s="480"/>
      <c r="F93" s="411">
        <f t="shared" si="14"/>
        <v>0</v>
      </c>
      <c r="G93" s="411">
        <f t="shared" si="15"/>
        <v>0</v>
      </c>
      <c r="H93" s="480"/>
      <c r="I93" s="486"/>
      <c r="J93" s="481"/>
      <c r="K93" s="487"/>
      <c r="L93" s="487"/>
      <c r="M93" s="487"/>
      <c r="N93" s="487"/>
      <c r="O93" s="415">
        <f t="shared" si="16"/>
        <v>0</v>
      </c>
      <c r="P93" s="412">
        <f t="shared" si="17"/>
        <v>0</v>
      </c>
      <c r="Q93" s="473" t="e">
        <f t="shared" si="18"/>
        <v>#DIV/0!</v>
      </c>
      <c r="R93" s="413" t="e">
        <f t="shared" si="19"/>
        <v>#DIV/0!</v>
      </c>
      <c r="S93" s="473" t="e">
        <f t="shared" si="20"/>
        <v>#DIV/0!</v>
      </c>
      <c r="T93" s="414" t="e">
        <f t="shared" si="21"/>
        <v>#DIV/0!</v>
      </c>
    </row>
    <row r="94" spans="1:20" x14ac:dyDescent="0.2">
      <c r="A94" s="479"/>
      <c r="B94" s="480"/>
      <c r="C94" s="422"/>
      <c r="D94" s="481"/>
      <c r="E94" s="480"/>
      <c r="F94" s="411">
        <f t="shared" si="14"/>
        <v>0</v>
      </c>
      <c r="G94" s="411">
        <f t="shared" si="15"/>
        <v>0</v>
      </c>
      <c r="H94" s="480"/>
      <c r="I94" s="486"/>
      <c r="J94" s="481"/>
      <c r="K94" s="487"/>
      <c r="L94" s="487"/>
      <c r="M94" s="487"/>
      <c r="N94" s="487"/>
      <c r="O94" s="415">
        <f t="shared" si="16"/>
        <v>0</v>
      </c>
      <c r="P94" s="412">
        <f t="shared" si="17"/>
        <v>0</v>
      </c>
      <c r="Q94" s="473" t="e">
        <f t="shared" si="18"/>
        <v>#DIV/0!</v>
      </c>
      <c r="R94" s="413" t="e">
        <f t="shared" si="19"/>
        <v>#DIV/0!</v>
      </c>
      <c r="S94" s="473" t="e">
        <f t="shared" si="20"/>
        <v>#DIV/0!</v>
      </c>
      <c r="T94" s="414" t="e">
        <f t="shared" si="21"/>
        <v>#DIV/0!</v>
      </c>
    </row>
    <row r="95" spans="1:20" x14ac:dyDescent="0.2">
      <c r="A95" s="479"/>
      <c r="B95" s="480"/>
      <c r="C95" s="422"/>
      <c r="D95" s="481"/>
      <c r="E95" s="480"/>
      <c r="F95" s="411">
        <f t="shared" si="14"/>
        <v>0</v>
      </c>
      <c r="G95" s="411">
        <f t="shared" si="15"/>
        <v>0</v>
      </c>
      <c r="H95" s="480"/>
      <c r="I95" s="486"/>
      <c r="J95" s="481"/>
      <c r="K95" s="487"/>
      <c r="L95" s="487"/>
      <c r="M95" s="487"/>
      <c r="N95" s="487"/>
      <c r="O95" s="415">
        <f t="shared" si="16"/>
        <v>0</v>
      </c>
      <c r="P95" s="412">
        <f t="shared" si="17"/>
        <v>0</v>
      </c>
      <c r="Q95" s="473" t="e">
        <f t="shared" si="18"/>
        <v>#DIV/0!</v>
      </c>
      <c r="R95" s="413" t="e">
        <f t="shared" si="19"/>
        <v>#DIV/0!</v>
      </c>
      <c r="S95" s="473" t="e">
        <f t="shared" si="20"/>
        <v>#DIV/0!</v>
      </c>
      <c r="T95" s="414" t="e">
        <f t="shared" si="21"/>
        <v>#DIV/0!</v>
      </c>
    </row>
    <row r="96" spans="1:20" x14ac:dyDescent="0.2">
      <c r="A96" s="479"/>
      <c r="B96" s="480"/>
      <c r="C96" s="422"/>
      <c r="D96" s="481"/>
      <c r="E96" s="480"/>
      <c r="F96" s="411">
        <f t="shared" si="14"/>
        <v>0</v>
      </c>
      <c r="G96" s="411">
        <f t="shared" si="15"/>
        <v>0</v>
      </c>
      <c r="H96" s="480"/>
      <c r="I96" s="486"/>
      <c r="J96" s="481"/>
      <c r="K96" s="487"/>
      <c r="L96" s="487"/>
      <c r="M96" s="487"/>
      <c r="N96" s="487"/>
      <c r="O96" s="415">
        <f t="shared" si="16"/>
        <v>0</v>
      </c>
      <c r="P96" s="412">
        <f t="shared" si="17"/>
        <v>0</v>
      </c>
      <c r="Q96" s="473" t="e">
        <f t="shared" si="18"/>
        <v>#DIV/0!</v>
      </c>
      <c r="R96" s="413" t="e">
        <f t="shared" si="19"/>
        <v>#DIV/0!</v>
      </c>
      <c r="S96" s="473" t="e">
        <f t="shared" si="20"/>
        <v>#DIV/0!</v>
      </c>
      <c r="T96" s="414" t="e">
        <f t="shared" si="21"/>
        <v>#DIV/0!</v>
      </c>
    </row>
    <row r="97" spans="1:20" x14ac:dyDescent="0.2">
      <c r="A97" s="479"/>
      <c r="B97" s="480"/>
      <c r="C97" s="422"/>
      <c r="D97" s="481"/>
      <c r="E97" s="480"/>
      <c r="F97" s="411">
        <f t="shared" si="14"/>
        <v>0</v>
      </c>
      <c r="G97" s="411">
        <f t="shared" si="15"/>
        <v>0</v>
      </c>
      <c r="H97" s="480"/>
      <c r="I97" s="486"/>
      <c r="J97" s="481"/>
      <c r="K97" s="487"/>
      <c r="L97" s="487"/>
      <c r="M97" s="487"/>
      <c r="N97" s="487"/>
      <c r="O97" s="415">
        <f t="shared" si="16"/>
        <v>0</v>
      </c>
      <c r="P97" s="412">
        <f t="shared" si="17"/>
        <v>0</v>
      </c>
      <c r="Q97" s="473" t="e">
        <f t="shared" si="18"/>
        <v>#DIV/0!</v>
      </c>
      <c r="R97" s="413" t="e">
        <f t="shared" si="19"/>
        <v>#DIV/0!</v>
      </c>
      <c r="S97" s="473" t="e">
        <f t="shared" si="20"/>
        <v>#DIV/0!</v>
      </c>
      <c r="T97" s="414" t="e">
        <f t="shared" si="21"/>
        <v>#DIV/0!</v>
      </c>
    </row>
    <row r="98" spans="1:20" x14ac:dyDescent="0.2">
      <c r="A98" s="479"/>
      <c r="B98" s="480"/>
      <c r="C98" s="422"/>
      <c r="D98" s="481"/>
      <c r="E98" s="480"/>
      <c r="F98" s="411">
        <f t="shared" si="14"/>
        <v>0</v>
      </c>
      <c r="G98" s="411">
        <f t="shared" si="15"/>
        <v>0</v>
      </c>
      <c r="H98" s="480"/>
      <c r="I98" s="486"/>
      <c r="J98" s="481"/>
      <c r="K98" s="487"/>
      <c r="L98" s="487"/>
      <c r="M98" s="487"/>
      <c r="N98" s="487"/>
      <c r="O98" s="415">
        <f t="shared" si="16"/>
        <v>0</v>
      </c>
      <c r="P98" s="412">
        <f t="shared" si="17"/>
        <v>0</v>
      </c>
      <c r="Q98" s="473" t="e">
        <f t="shared" si="18"/>
        <v>#DIV/0!</v>
      </c>
      <c r="R98" s="413" t="e">
        <f t="shared" si="19"/>
        <v>#DIV/0!</v>
      </c>
      <c r="S98" s="473" t="e">
        <f t="shared" si="20"/>
        <v>#DIV/0!</v>
      </c>
      <c r="T98" s="414" t="e">
        <f t="shared" si="21"/>
        <v>#DIV/0!</v>
      </c>
    </row>
    <row r="99" spans="1:20" x14ac:dyDescent="0.2">
      <c r="A99" s="479"/>
      <c r="B99" s="480"/>
      <c r="C99" s="422"/>
      <c r="D99" s="481"/>
      <c r="E99" s="480"/>
      <c r="F99" s="411">
        <f t="shared" si="14"/>
        <v>0</v>
      </c>
      <c r="G99" s="411">
        <f t="shared" si="15"/>
        <v>0</v>
      </c>
      <c r="H99" s="480"/>
      <c r="I99" s="486"/>
      <c r="J99" s="481"/>
      <c r="K99" s="487"/>
      <c r="L99" s="487"/>
      <c r="M99" s="487"/>
      <c r="N99" s="487"/>
      <c r="O99" s="415">
        <f t="shared" si="16"/>
        <v>0</v>
      </c>
      <c r="P99" s="412">
        <f t="shared" si="17"/>
        <v>0</v>
      </c>
      <c r="Q99" s="473" t="e">
        <f t="shared" si="18"/>
        <v>#DIV/0!</v>
      </c>
      <c r="R99" s="413" t="e">
        <f t="shared" si="19"/>
        <v>#DIV/0!</v>
      </c>
      <c r="S99" s="473" t="e">
        <f t="shared" si="20"/>
        <v>#DIV/0!</v>
      </c>
      <c r="T99" s="414" t="e">
        <f t="shared" si="21"/>
        <v>#DIV/0!</v>
      </c>
    </row>
    <row r="100" spans="1:20" x14ac:dyDescent="0.2">
      <c r="A100" s="479"/>
      <c r="B100" s="480"/>
      <c r="C100" s="422"/>
      <c r="D100" s="481"/>
      <c r="E100" s="480"/>
      <c r="F100" s="411">
        <f t="shared" si="14"/>
        <v>0</v>
      </c>
      <c r="G100" s="411">
        <f t="shared" si="15"/>
        <v>0</v>
      </c>
      <c r="H100" s="480"/>
      <c r="I100" s="486"/>
      <c r="J100" s="481"/>
      <c r="K100" s="487"/>
      <c r="L100" s="487"/>
      <c r="M100" s="487"/>
      <c r="N100" s="487"/>
      <c r="O100" s="415">
        <f t="shared" si="16"/>
        <v>0</v>
      </c>
      <c r="P100" s="412">
        <f t="shared" si="17"/>
        <v>0</v>
      </c>
      <c r="Q100" s="473" t="e">
        <f t="shared" si="18"/>
        <v>#DIV/0!</v>
      </c>
      <c r="R100" s="413" t="e">
        <f t="shared" si="19"/>
        <v>#DIV/0!</v>
      </c>
      <c r="S100" s="473" t="e">
        <f t="shared" si="20"/>
        <v>#DIV/0!</v>
      </c>
      <c r="T100" s="414" t="e">
        <f t="shared" si="21"/>
        <v>#DIV/0!</v>
      </c>
    </row>
    <row r="101" spans="1:20" ht="13.5" thickBot="1" x14ac:dyDescent="0.25">
      <c r="A101" s="482"/>
      <c r="B101" s="483"/>
      <c r="C101" s="422"/>
      <c r="D101" s="484"/>
      <c r="E101" s="483"/>
      <c r="F101" s="416">
        <f t="shared" si="14"/>
        <v>0</v>
      </c>
      <c r="G101" s="416">
        <f t="shared" si="15"/>
        <v>0</v>
      </c>
      <c r="H101" s="483"/>
      <c r="I101" s="488"/>
      <c r="J101" s="484"/>
      <c r="K101" s="489"/>
      <c r="L101" s="489"/>
      <c r="M101" s="489"/>
      <c r="N101" s="489"/>
      <c r="O101" s="417">
        <f t="shared" si="16"/>
        <v>0</v>
      </c>
      <c r="P101" s="418">
        <f t="shared" si="17"/>
        <v>0</v>
      </c>
      <c r="Q101" s="474" t="e">
        <f t="shared" si="18"/>
        <v>#DIV/0!</v>
      </c>
      <c r="R101" s="419" t="e">
        <f t="shared" si="19"/>
        <v>#DIV/0!</v>
      </c>
      <c r="S101" s="474" t="e">
        <f t="shared" si="20"/>
        <v>#DIV/0!</v>
      </c>
      <c r="T101" s="420" t="e">
        <f t="shared" si="21"/>
        <v>#DIV/0!</v>
      </c>
    </row>
  </sheetData>
  <mergeCells count="4">
    <mergeCell ref="C5:G5"/>
    <mergeCell ref="I5:P5"/>
    <mergeCell ref="Q5:T5"/>
    <mergeCell ref="A1:T2"/>
  </mergeCells>
  <hyperlinks>
    <hyperlink ref="A3" location="Instructions!A98" display="Instructions" xr:uid="{00000000-0004-0000-0500-000000000000}"/>
  </hyperlinks>
  <pageMargins left="0.7" right="0.7" top="0.75" bottom="0.75" header="0.3" footer="0.3"/>
  <pageSetup paperSize="9" orientation="portrait" r:id="rId1"/>
  <ignoredErrors>
    <ignoredError sqref="O7 O8 O9:O12"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FCE37A-CB04-4AF1-8F9E-B96368AA78A9}">
          <x14:formula1>
            <xm:f>'P1 Area'!$P$7:$P$18</xm:f>
          </x14:formula1>
          <xm:sqref>C7:C101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13853B4712D9448C87073E61B41813" ma:contentTypeVersion="9" ma:contentTypeDescription="Create a new document." ma:contentTypeScope="" ma:versionID="5b68e5b783e1f527310b106c017ffdeb">
  <xsd:schema xmlns:xsd="http://www.w3.org/2001/XMLSchema" xmlns:xs="http://www.w3.org/2001/XMLSchema" xmlns:p="http://schemas.microsoft.com/office/2006/metadata/properties" xmlns:ns2="2a81235b-f356-4a9f-a132-3c1f5de1972d" xmlns:ns3="d39288ad-2759-479b-8016-218da56ae7f2" targetNamespace="http://schemas.microsoft.com/office/2006/metadata/properties" ma:root="true" ma:fieldsID="e044a16f9f7b29938744821c392518d6" ns2:_="" ns3:_="">
    <xsd:import namespace="2a81235b-f356-4a9f-a132-3c1f5de1972d"/>
    <xsd:import namespace="d39288ad-2759-479b-8016-218da56ae7f2"/>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1235b-f356-4a9f-a132-3c1f5de1972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9288ad-2759-479b-8016-218da56ae7f2"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A01314-279F-4B99-858E-A9001B373E60}"/>
</file>

<file path=customXml/itemProps2.xml><?xml version="1.0" encoding="utf-8"?>
<ds:datastoreItem xmlns:ds="http://schemas.openxmlformats.org/officeDocument/2006/customXml" ds:itemID="{91D23461-77B0-476F-8594-1D72BF682459}"/>
</file>

<file path=customXml/itemProps3.xml><?xml version="1.0" encoding="utf-8"?>
<ds:datastoreItem xmlns:ds="http://schemas.openxmlformats.org/officeDocument/2006/customXml" ds:itemID="{F20AD68A-78B8-4AD5-A5AC-4A0E5DF852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Instructions</vt:lpstr>
      <vt:lpstr>Summary</vt:lpstr>
      <vt:lpstr>P1 Area</vt:lpstr>
      <vt:lpstr>P1 CF</vt:lpstr>
      <vt:lpstr>P1 MF</vt:lpstr>
      <vt:lpstr>P1 Bal</vt:lpstr>
      <vt:lpstr>P1 Supps</vt:lpstr>
      <vt:lpstr>P1 Feeding</vt:lpstr>
      <vt:lpstr>Paddock Feed Budget Calculator</vt:lpstr>
      <vt:lpstr>Supp Feed Calculator</vt:lpstr>
      <vt:lpstr>P1 S&amp;F</vt:lpstr>
      <vt:lpstr>Financial</vt:lpstr>
      <vt:lpstr>Trnsf</vt:lpstr>
      <vt:lpstr>Comments</vt:lpstr>
      <vt:lpstr>P2 Area</vt:lpstr>
      <vt:lpstr>P2 CF</vt:lpstr>
      <vt:lpstr>P2 Bal</vt:lpstr>
      <vt:lpstr>P2 Supps</vt:lpstr>
      <vt:lpstr>P2 Feeding</vt:lpstr>
      <vt:lpstr>P2 S&amp;F</vt:lpstr>
      <vt:lpstr>Historical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Davey &amp; Maynard</dc:creator>
  <cp:lastModifiedBy>Lloyd Collett</cp:lastModifiedBy>
  <cp:lastPrinted>2017-02-06T00:25:40Z</cp:lastPrinted>
  <dcterms:created xsi:type="dcterms:W3CDTF">2000-03-28T01:13:23Z</dcterms:created>
  <dcterms:modified xsi:type="dcterms:W3CDTF">2019-09-16T13:37:31Z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0x010100DE13853B4712D9448C87073E61B41813</vt:lpwstr>
  </property>
</Properties>
</file>